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442067\Desktop\Project\APR\Approved by HE G\"/>
    </mc:Choice>
  </mc:AlternateContent>
  <workbookProtection workbookAlgorithmName="SHA-512" workbookHashValue="z/PlZ1Okqxq9HFyLWHh5hAXEV6KqRrA68Snm41S2ld0fUHxaFeI3x9i+8avvx8O8IjduOrOZzZtk7409JLrFsQ==" workbookSaltValue="D/AVG93BlqTxvWA0BxFhSw==" workbookSpinCount="100000" lockStructure="1"/>
  <bookViews>
    <workbookView xWindow="0" yWindow="0" windowWidth="19200" windowHeight="6270" tabRatio="862"/>
  </bookViews>
  <sheets>
    <sheet name="Key Definitions" sheetId="11" r:id="rId1"/>
    <sheet name="Input" sheetId="9" r:id="rId2"/>
    <sheet name="Personal Finance" sheetId="1" r:id="rId3"/>
    <sheet name="Auto Finance" sheetId="23" r:id="rId4"/>
    <sheet name="Real Estate Finance" sheetId="13" r:id="rId5"/>
    <sheet name="Credit Card" sheetId="14" r:id="rId6"/>
    <sheet name="Inconsistent Installments" sheetId="15" r:id="rId7"/>
    <sheet name="Examples" sheetId="29" r:id="rId8"/>
    <sheet name="FAQ" sheetId="25" r:id="rId9"/>
    <sheet name="Input-AF (Avg Insurance) " sheetId="27" r:id="rId10"/>
    <sheet name="Auto Finance- Avg Insurance" sheetId="28"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4" l="1"/>
  <c r="C8" i="13"/>
  <c r="D19" i="23"/>
  <c r="I36" i="9" l="1"/>
  <c r="I19" i="27" l="1"/>
  <c r="K29" i="27"/>
  <c r="K28" i="27"/>
  <c r="K27" i="27"/>
  <c r="K26" i="27"/>
  <c r="K46" i="9"/>
  <c r="K45" i="9"/>
  <c r="K44" i="9"/>
  <c r="K43" i="9"/>
  <c r="J34" i="9"/>
  <c r="J17" i="27"/>
  <c r="J37" i="9"/>
  <c r="J17" i="23" l="1"/>
  <c r="J35" i="9"/>
  <c r="J17" i="28"/>
  <c r="E19" i="14" l="1"/>
  <c r="E20" i="14"/>
  <c r="E21" i="14"/>
  <c r="E22" i="14"/>
  <c r="E23" i="14"/>
  <c r="E24" i="14"/>
  <c r="E25" i="14"/>
  <c r="E26" i="14"/>
  <c r="E27" i="14"/>
  <c r="E28" i="14"/>
  <c r="E29" i="14"/>
  <c r="E18" i="14"/>
  <c r="D20" i="14"/>
  <c r="D21" i="14"/>
  <c r="D22" i="14"/>
  <c r="D23" i="14"/>
  <c r="D24" i="14"/>
  <c r="D25" i="14"/>
  <c r="D26" i="14"/>
  <c r="D27" i="14"/>
  <c r="D28" i="14"/>
  <c r="D29" i="14"/>
  <c r="D19" i="14"/>
  <c r="D18" i="14"/>
  <c r="J18" i="27" l="1"/>
  <c r="J20" i="27"/>
  <c r="L17" i="28"/>
  <c r="G25" i="27"/>
  <c r="G26" i="27" s="1"/>
  <c r="G27" i="27" s="1"/>
  <c r="G28" i="27" s="1"/>
  <c r="G29" i="27" s="1"/>
  <c r="J29" i="27" s="1"/>
  <c r="G42" i="9"/>
  <c r="G43" i="9" s="1"/>
  <c r="G44" i="9" s="1"/>
  <c r="G45" i="9" s="1"/>
  <c r="G46" i="9" s="1"/>
  <c r="J46" i="9" s="1"/>
  <c r="S18" i="28"/>
  <c r="S17" i="28"/>
  <c r="M18" i="28"/>
  <c r="K18" i="28"/>
  <c r="J18" i="28"/>
  <c r="C18" i="28"/>
  <c r="A18" i="28"/>
  <c r="C17" i="28"/>
  <c r="C13" i="28"/>
  <c r="C8" i="28"/>
  <c r="C6" i="28"/>
  <c r="W2" i="28"/>
  <c r="V2" i="28"/>
  <c r="W1" i="28"/>
  <c r="V1" i="28"/>
  <c r="K25" i="27"/>
  <c r="E24" i="27"/>
  <c r="M17" i="28"/>
  <c r="K17" i="28"/>
  <c r="D18" i="28" l="1"/>
  <c r="F18" i="28" s="1"/>
  <c r="I18" i="28" s="1"/>
  <c r="E18" i="28"/>
  <c r="G18" i="28" s="1"/>
  <c r="J25" i="27"/>
  <c r="L25" i="27" s="1"/>
  <c r="J26" i="27"/>
  <c r="L26" i="27" s="1"/>
  <c r="J28" i="27"/>
  <c r="J27" i="27"/>
  <c r="J42" i="9"/>
  <c r="J45" i="9"/>
  <c r="J43" i="9"/>
  <c r="J44" i="9"/>
  <c r="B19" i="28"/>
  <c r="N17" i="28"/>
  <c r="O17" i="28" s="1"/>
  <c r="T17" i="28" s="1"/>
  <c r="C11" i="28"/>
  <c r="D19" i="28" l="1"/>
  <c r="F19" i="28" s="1"/>
  <c r="I19" i="28" s="1"/>
  <c r="E19" i="28"/>
  <c r="J36" i="9"/>
  <c r="L42" i="9"/>
  <c r="H18" i="28"/>
  <c r="B20" i="28"/>
  <c r="K19" i="28"/>
  <c r="C19" i="28"/>
  <c r="S19" i="28" s="1"/>
  <c r="J19" i="28"/>
  <c r="A19" i="28"/>
  <c r="M19" i="28"/>
  <c r="D20" i="28" l="1"/>
  <c r="E20" i="28"/>
  <c r="B21" i="28"/>
  <c r="H19" i="28"/>
  <c r="G19" i="28"/>
  <c r="L27" i="27"/>
  <c r="K20" i="28"/>
  <c r="C20" i="28"/>
  <c r="S20" i="28" s="1"/>
  <c r="J20" i="28"/>
  <c r="A20" i="28"/>
  <c r="M20" i="28"/>
  <c r="E21" i="28" l="1"/>
  <c r="D21" i="28"/>
  <c r="H20" i="28"/>
  <c r="L29" i="27"/>
  <c r="L28" i="27"/>
  <c r="B22" i="28"/>
  <c r="F20" i="28"/>
  <c r="I20" i="28" s="1"/>
  <c r="J21" i="28"/>
  <c r="A21" i="28"/>
  <c r="M21" i="28"/>
  <c r="K21" i="28"/>
  <c r="C21" i="28"/>
  <c r="S21" i="28" s="1"/>
  <c r="G20" i="28"/>
  <c r="M27" i="27" l="1"/>
  <c r="I21" i="27"/>
  <c r="J21" i="27" s="1"/>
  <c r="J19" i="27"/>
  <c r="L22" i="28"/>
  <c r="D22" i="28"/>
  <c r="E22" i="28"/>
  <c r="M26" i="27"/>
  <c r="M25" i="27"/>
  <c r="M29" i="27"/>
  <c r="M28" i="27"/>
  <c r="H21" i="28"/>
  <c r="B23" i="28"/>
  <c r="G21" i="28"/>
  <c r="A22" i="28"/>
  <c r="M22" i="28"/>
  <c r="K22" i="28"/>
  <c r="C22" i="28"/>
  <c r="S22" i="28" s="1"/>
  <c r="J22" i="28"/>
  <c r="F21" i="28"/>
  <c r="I21" i="28" s="1"/>
  <c r="L18" i="28" l="1"/>
  <c r="L19" i="28"/>
  <c r="L20" i="28"/>
  <c r="L21" i="28"/>
  <c r="L23" i="28"/>
  <c r="E23" i="28"/>
  <c r="D23" i="28"/>
  <c r="H22" i="28"/>
  <c r="G22" i="28"/>
  <c r="B24" i="28"/>
  <c r="F22" i="28"/>
  <c r="I22" i="28" s="1"/>
  <c r="M23" i="28"/>
  <c r="K23" i="28"/>
  <c r="C23" i="28"/>
  <c r="S23" i="28" s="1"/>
  <c r="J23" i="28"/>
  <c r="A23" i="28"/>
  <c r="L24" i="28" l="1"/>
  <c r="E24" i="28"/>
  <c r="D24" i="28"/>
  <c r="N19" i="28"/>
  <c r="O19" i="28" s="1"/>
  <c r="T19" i="28" s="1"/>
  <c r="N18" i="28"/>
  <c r="O18" i="28" s="1"/>
  <c r="T18" i="28" s="1"/>
  <c r="N20" i="28"/>
  <c r="O20" i="28" s="1"/>
  <c r="T20" i="28" s="1"/>
  <c r="N21" i="28"/>
  <c r="O21" i="28" s="1"/>
  <c r="T21" i="28" s="1"/>
  <c r="N23" i="28"/>
  <c r="G23" i="28"/>
  <c r="H23" i="28"/>
  <c r="B25" i="28"/>
  <c r="M24" i="28"/>
  <c r="K24" i="28"/>
  <c r="C24" i="28"/>
  <c r="S24" i="28" s="1"/>
  <c r="J24" i="28"/>
  <c r="A24" i="28"/>
  <c r="F23" i="28"/>
  <c r="I23" i="28" s="1"/>
  <c r="L25" i="28" l="1"/>
  <c r="D25" i="28"/>
  <c r="E25" i="28"/>
  <c r="G24" i="28"/>
  <c r="H24" i="28"/>
  <c r="N24" i="28"/>
  <c r="B26" i="28"/>
  <c r="O23" i="28"/>
  <c r="T23" i="28" s="1"/>
  <c r="F24" i="28"/>
  <c r="I24" i="28" s="1"/>
  <c r="M25" i="28"/>
  <c r="K25" i="28"/>
  <c r="C25" i="28"/>
  <c r="S25" i="28" s="1"/>
  <c r="J25" i="28"/>
  <c r="A25" i="28"/>
  <c r="G25" i="28" l="1"/>
  <c r="L26" i="28"/>
  <c r="D26" i="28"/>
  <c r="E26" i="28"/>
  <c r="G26" i="28" s="1"/>
  <c r="H25" i="28"/>
  <c r="B27" i="28"/>
  <c r="N25" i="28"/>
  <c r="F25" i="28"/>
  <c r="I25" i="28" s="1"/>
  <c r="O24" i="28"/>
  <c r="T24" i="28" s="1"/>
  <c r="M26" i="28"/>
  <c r="K26" i="28"/>
  <c r="C26" i="28"/>
  <c r="S26" i="28" s="1"/>
  <c r="J26" i="28"/>
  <c r="A26" i="28"/>
  <c r="L27" i="28" l="1"/>
  <c r="E27" i="28"/>
  <c r="G27" i="28" s="1"/>
  <c r="D27" i="28"/>
  <c r="O25" i="28"/>
  <c r="T25" i="28" s="1"/>
  <c r="H26" i="28"/>
  <c r="N26" i="28"/>
  <c r="B28" i="28"/>
  <c r="F26" i="28"/>
  <c r="I26" i="28" s="1"/>
  <c r="M27" i="28"/>
  <c r="C27" i="28"/>
  <c r="S27" i="28" s="1"/>
  <c r="K27" i="28"/>
  <c r="J27" i="28"/>
  <c r="A27" i="28"/>
  <c r="L28" i="28" l="1"/>
  <c r="E28" i="28"/>
  <c r="G28" i="28" s="1"/>
  <c r="D28" i="28"/>
  <c r="O26" i="28"/>
  <c r="T26" i="28" s="1"/>
  <c r="H27" i="28"/>
  <c r="N27" i="28"/>
  <c r="B29" i="28"/>
  <c r="F27" i="28"/>
  <c r="I27" i="28" s="1"/>
  <c r="J28" i="28"/>
  <c r="C28" i="28"/>
  <c r="S28" i="28" s="1"/>
  <c r="M28" i="28"/>
  <c r="K28" i="28"/>
  <c r="A28" i="28"/>
  <c r="L29" i="28" l="1"/>
  <c r="E29" i="28"/>
  <c r="G29" i="28" s="1"/>
  <c r="D29" i="28"/>
  <c r="H28" i="28"/>
  <c r="N28" i="28"/>
  <c r="B30" i="28"/>
  <c r="F28" i="28"/>
  <c r="I28" i="28" s="1"/>
  <c r="O27" i="28"/>
  <c r="T27" i="28" s="1"/>
  <c r="M29" i="28"/>
  <c r="K29" i="28"/>
  <c r="C29" i="28"/>
  <c r="S29" i="28" s="1"/>
  <c r="A29" i="28"/>
  <c r="J29" i="28"/>
  <c r="L30" i="28" l="1"/>
  <c r="D30" i="28"/>
  <c r="E30" i="28"/>
  <c r="G30" i="28" s="1"/>
  <c r="O28" i="28"/>
  <c r="T28" i="28" s="1"/>
  <c r="H29" i="28"/>
  <c r="N29" i="28"/>
  <c r="B31" i="28"/>
  <c r="J30" i="28"/>
  <c r="M30" i="28"/>
  <c r="K30" i="28"/>
  <c r="C30" i="28"/>
  <c r="S30" i="28" s="1"/>
  <c r="A30" i="28"/>
  <c r="F29" i="28"/>
  <c r="I29" i="28" s="1"/>
  <c r="L31" i="28" l="1"/>
  <c r="E31" i="28"/>
  <c r="G31" i="28" s="1"/>
  <c r="D31" i="28"/>
  <c r="N30" i="28"/>
  <c r="H30" i="28"/>
  <c r="B32" i="28"/>
  <c r="O29" i="28"/>
  <c r="T29" i="28" s="1"/>
  <c r="K31" i="28"/>
  <c r="C31" i="28"/>
  <c r="S31" i="28" s="1"/>
  <c r="A31" i="28"/>
  <c r="M31" i="28"/>
  <c r="J31" i="28"/>
  <c r="F30" i="28"/>
  <c r="I30" i="28" s="1"/>
  <c r="L32" i="28" l="1"/>
  <c r="E32" i="28"/>
  <c r="D32" i="28"/>
  <c r="O30" i="28"/>
  <c r="T30" i="28" s="1"/>
  <c r="N31" i="28"/>
  <c r="H31" i="28"/>
  <c r="B33" i="28"/>
  <c r="F31" i="28"/>
  <c r="I31" i="28" s="1"/>
  <c r="J32" i="28"/>
  <c r="K32" i="28"/>
  <c r="C32" i="28"/>
  <c r="S32" i="28" s="1"/>
  <c r="G32" i="28"/>
  <c r="A32" i="28"/>
  <c r="M32" i="28"/>
  <c r="L33" i="28" l="1"/>
  <c r="D33" i="28"/>
  <c r="E33" i="28"/>
  <c r="G33" i="28" s="1"/>
  <c r="H32" i="28"/>
  <c r="B34" i="28"/>
  <c r="N32" i="28"/>
  <c r="O31" i="28"/>
  <c r="T31" i="28" s="1"/>
  <c r="F32" i="28"/>
  <c r="I32" i="28" s="1"/>
  <c r="A33" i="28"/>
  <c r="M33" i="28"/>
  <c r="K33" i="28"/>
  <c r="C33" i="28"/>
  <c r="S33" i="28" s="1"/>
  <c r="J33" i="28"/>
  <c r="L34" i="28" l="1"/>
  <c r="E34" i="28"/>
  <c r="G34" i="28" s="1"/>
  <c r="D34" i="28"/>
  <c r="O32" i="28"/>
  <c r="T32" i="28" s="1"/>
  <c r="H33" i="28"/>
  <c r="N33" i="28"/>
  <c r="B35" i="28"/>
  <c r="F33" i="28"/>
  <c r="I33" i="28" s="1"/>
  <c r="M34" i="28"/>
  <c r="J34" i="28"/>
  <c r="A34" i="28"/>
  <c r="C34" i="28"/>
  <c r="S34" i="28" s="1"/>
  <c r="K34" i="28"/>
  <c r="L35" i="28" l="1"/>
  <c r="E35" i="28"/>
  <c r="G35" i="28" s="1"/>
  <c r="D35" i="28"/>
  <c r="H34" i="28"/>
  <c r="N34" i="28"/>
  <c r="B36" i="28"/>
  <c r="O33" i="28"/>
  <c r="T33" i="28" s="1"/>
  <c r="M35" i="28"/>
  <c r="K35" i="28"/>
  <c r="C35" i="28"/>
  <c r="S35" i="28" s="1"/>
  <c r="A35" i="28"/>
  <c r="J35" i="28"/>
  <c r="F34" i="28"/>
  <c r="I34" i="28" s="1"/>
  <c r="L36" i="28" l="1"/>
  <c r="D36" i="28"/>
  <c r="E36" i="28"/>
  <c r="O34" i="28"/>
  <c r="T34" i="28" s="1"/>
  <c r="H35" i="28"/>
  <c r="N35" i="28"/>
  <c r="B37" i="28"/>
  <c r="F35" i="28"/>
  <c r="I35" i="28" s="1"/>
  <c r="K36" i="28"/>
  <c r="C36" i="28"/>
  <c r="S36" i="28" s="1"/>
  <c r="J36" i="28"/>
  <c r="A36" i="28"/>
  <c r="M36" i="28"/>
  <c r="G36" i="28"/>
  <c r="L37" i="28" l="1"/>
  <c r="E37" i="28"/>
  <c r="G37" i="28" s="1"/>
  <c r="D37" i="28"/>
  <c r="O35" i="28"/>
  <c r="T35" i="28" s="1"/>
  <c r="H36" i="28"/>
  <c r="N36" i="28"/>
  <c r="B38" i="28"/>
  <c r="M37" i="28"/>
  <c r="K37" i="28"/>
  <c r="C37" i="28"/>
  <c r="S37" i="28" s="1"/>
  <c r="J37" i="28"/>
  <c r="A37" i="28"/>
  <c r="F36" i="28"/>
  <c r="I36" i="28" s="1"/>
  <c r="L38" i="28" l="1"/>
  <c r="D38" i="28"/>
  <c r="E38" i="28"/>
  <c r="G38" i="28" s="1"/>
  <c r="H37" i="28"/>
  <c r="N37" i="28"/>
  <c r="B39" i="28"/>
  <c r="O36" i="28"/>
  <c r="T36" i="28" s="1"/>
  <c r="F37" i="28"/>
  <c r="I37" i="28" s="1"/>
  <c r="J38" i="28"/>
  <c r="M38" i="28"/>
  <c r="C38" i="28"/>
  <c r="S38" i="28" s="1"/>
  <c r="A38" i="28"/>
  <c r="K38" i="28"/>
  <c r="L39" i="28" l="1"/>
  <c r="D39" i="28"/>
  <c r="E39" i="28"/>
  <c r="G39" i="28" s="1"/>
  <c r="H38" i="28"/>
  <c r="B40" i="28"/>
  <c r="N38" i="28"/>
  <c r="O37" i="28"/>
  <c r="T37" i="28" s="1"/>
  <c r="M39" i="28"/>
  <c r="A39" i="28"/>
  <c r="J39" i="28"/>
  <c r="C39" i="28"/>
  <c r="S39" i="28" s="1"/>
  <c r="K39" i="28"/>
  <c r="F38" i="28"/>
  <c r="I38" i="28" s="1"/>
  <c r="L40" i="28" l="1"/>
  <c r="E40" i="28"/>
  <c r="G40" i="28" s="1"/>
  <c r="D40" i="28"/>
  <c r="O38" i="28"/>
  <c r="T38" i="28" s="1"/>
  <c r="H39" i="28"/>
  <c r="N39" i="28"/>
  <c r="B41" i="28"/>
  <c r="F39" i="28"/>
  <c r="I39" i="28" s="1"/>
  <c r="C40" i="28"/>
  <c r="S40" i="28" s="1"/>
  <c r="K40" i="28"/>
  <c r="A40" i="28"/>
  <c r="J40" i="28"/>
  <c r="M40" i="28"/>
  <c r="L41" i="28" l="1"/>
  <c r="D41" i="28"/>
  <c r="E41" i="28"/>
  <c r="G41" i="28" s="1"/>
  <c r="O39" i="28"/>
  <c r="T39" i="28" s="1"/>
  <c r="F40" i="28"/>
  <c r="I40" i="28" s="1"/>
  <c r="N40" i="28"/>
  <c r="H40" i="28"/>
  <c r="B42" i="28"/>
  <c r="K41" i="28"/>
  <c r="C41" i="28"/>
  <c r="S41" i="28" s="1"/>
  <c r="M41" i="28"/>
  <c r="A41" i="28"/>
  <c r="J41" i="28"/>
  <c r="L42" i="28" l="1"/>
  <c r="E42" i="28"/>
  <c r="D42" i="28"/>
  <c r="F41" i="28"/>
  <c r="I41" i="28" s="1"/>
  <c r="N41" i="28"/>
  <c r="H41" i="28"/>
  <c r="B43" i="28"/>
  <c r="O40" i="28"/>
  <c r="T40" i="28" s="1"/>
  <c r="J42" i="28"/>
  <c r="A42" i="28"/>
  <c r="G42" i="28"/>
  <c r="M42" i="28"/>
  <c r="C42" i="28"/>
  <c r="S42" i="28" s="1"/>
  <c r="K42" i="28"/>
  <c r="L43" i="28" l="1"/>
  <c r="D43" i="28"/>
  <c r="E43" i="28"/>
  <c r="G43" i="28" s="1"/>
  <c r="H42" i="28"/>
  <c r="N42" i="28"/>
  <c r="B44" i="28"/>
  <c r="O41" i="28"/>
  <c r="T41" i="28" s="1"/>
  <c r="A43" i="28"/>
  <c r="M43" i="28"/>
  <c r="C43" i="28"/>
  <c r="S43" i="28" s="1"/>
  <c r="K43" i="28"/>
  <c r="J43" i="28"/>
  <c r="F42" i="28"/>
  <c r="I42" i="28" s="1"/>
  <c r="L44" i="28" l="1"/>
  <c r="D44" i="28"/>
  <c r="E44" i="28"/>
  <c r="G44" i="28" s="1"/>
  <c r="H43" i="28"/>
  <c r="N43" i="28"/>
  <c r="B45" i="28"/>
  <c r="F43" i="28"/>
  <c r="I43" i="28" s="1"/>
  <c r="O42" i="28"/>
  <c r="T42" i="28" s="1"/>
  <c r="J44" i="28"/>
  <c r="C44" i="28"/>
  <c r="S44" i="28" s="1"/>
  <c r="M44" i="28"/>
  <c r="K44" i="28"/>
  <c r="A44" i="28"/>
  <c r="L45" i="28" l="1"/>
  <c r="D45" i="28"/>
  <c r="E45" i="28"/>
  <c r="G45" i="28" s="1"/>
  <c r="H44" i="28"/>
  <c r="O43" i="28"/>
  <c r="T43" i="28" s="1"/>
  <c r="B46" i="28"/>
  <c r="N44" i="28"/>
  <c r="F44" i="28"/>
  <c r="I44" i="28" s="1"/>
  <c r="K45" i="28"/>
  <c r="C45" i="28"/>
  <c r="S45" i="28" s="1"/>
  <c r="M45" i="28"/>
  <c r="A45" i="28"/>
  <c r="J45" i="28"/>
  <c r="L46" i="28" l="1"/>
  <c r="E46" i="28"/>
  <c r="G46" i="28" s="1"/>
  <c r="D46" i="28"/>
  <c r="H45" i="28"/>
  <c r="N45" i="28"/>
  <c r="F45" i="28"/>
  <c r="I45" i="28" s="1"/>
  <c r="B47" i="28"/>
  <c r="O44" i="28"/>
  <c r="T44" i="28" s="1"/>
  <c r="J46" i="28"/>
  <c r="M46" i="28"/>
  <c r="C46" i="28"/>
  <c r="S46" i="28" s="1"/>
  <c r="A46" i="28"/>
  <c r="K46" i="28"/>
  <c r="L47" i="28" l="1"/>
  <c r="E47" i="28"/>
  <c r="G47" i="28" s="1"/>
  <c r="D47" i="28"/>
  <c r="H46" i="28"/>
  <c r="N46" i="28"/>
  <c r="B48" i="28"/>
  <c r="O45" i="28"/>
  <c r="T45" i="28" s="1"/>
  <c r="F46" i="28"/>
  <c r="I46" i="28" s="1"/>
  <c r="M47" i="28"/>
  <c r="A47" i="28"/>
  <c r="K47" i="28"/>
  <c r="J47" i="28"/>
  <c r="C47" i="28"/>
  <c r="S47" i="28" s="1"/>
  <c r="L48" i="28" l="1"/>
  <c r="D48" i="28"/>
  <c r="E48" i="28"/>
  <c r="G48" i="28" s="1"/>
  <c r="F47" i="28"/>
  <c r="I47" i="28" s="1"/>
  <c r="H47" i="28"/>
  <c r="N47" i="28"/>
  <c r="B49" i="28"/>
  <c r="O46" i="28"/>
  <c r="T46" i="28" s="1"/>
  <c r="C48" i="28"/>
  <c r="S48" i="28" s="1"/>
  <c r="M48" i="28"/>
  <c r="K48" i="28"/>
  <c r="A48" i="28"/>
  <c r="J48" i="28"/>
  <c r="L49" i="28" l="1"/>
  <c r="E49" i="28"/>
  <c r="G49" i="28" s="1"/>
  <c r="D49" i="28"/>
  <c r="H48" i="28"/>
  <c r="N48" i="28"/>
  <c r="B50" i="28"/>
  <c r="O47" i="28"/>
  <c r="T47" i="28" s="1"/>
  <c r="F48" i="28"/>
  <c r="I48" i="28" s="1"/>
  <c r="K49" i="28"/>
  <c r="C49" i="28"/>
  <c r="S49" i="28" s="1"/>
  <c r="J49" i="28"/>
  <c r="M49" i="28"/>
  <c r="A49" i="28"/>
  <c r="L50" i="28" l="1"/>
  <c r="E50" i="28"/>
  <c r="G50" i="28" s="1"/>
  <c r="D50" i="28"/>
  <c r="H49" i="28"/>
  <c r="N49" i="28"/>
  <c r="B51" i="28"/>
  <c r="O48" i="28"/>
  <c r="T48" i="28" s="1"/>
  <c r="J50" i="28"/>
  <c r="M50" i="28"/>
  <c r="C50" i="28"/>
  <c r="S50" i="28" s="1"/>
  <c r="A50" i="28"/>
  <c r="K50" i="28"/>
  <c r="F49" i="28"/>
  <c r="I49" i="28" s="1"/>
  <c r="L51" i="28" l="1"/>
  <c r="E51" i="28"/>
  <c r="G51" i="28" s="1"/>
  <c r="D51" i="28"/>
  <c r="H50" i="28"/>
  <c r="N50" i="28"/>
  <c r="B52" i="28"/>
  <c r="O49" i="28"/>
  <c r="T49" i="28" s="1"/>
  <c r="A51" i="28"/>
  <c r="M51" i="28"/>
  <c r="C51" i="28"/>
  <c r="S51" i="28" s="1"/>
  <c r="K51" i="28"/>
  <c r="J51" i="28"/>
  <c r="F50" i="28"/>
  <c r="I50" i="28" s="1"/>
  <c r="L52" i="28" l="1"/>
  <c r="D52" i="28"/>
  <c r="E52" i="28"/>
  <c r="G52" i="28" s="1"/>
  <c r="H51" i="28"/>
  <c r="N51" i="28"/>
  <c r="B53" i="28"/>
  <c r="O50" i="28"/>
  <c r="T50" i="28" s="1"/>
  <c r="M52" i="28"/>
  <c r="K52" i="28"/>
  <c r="A52" i="28"/>
  <c r="J52" i="28"/>
  <c r="C52" i="28"/>
  <c r="S52" i="28" s="1"/>
  <c r="F51" i="28"/>
  <c r="I51" i="28" s="1"/>
  <c r="L53" i="28" l="1"/>
  <c r="D53" i="28"/>
  <c r="E53" i="28"/>
  <c r="G53" i="28" s="1"/>
  <c r="O51" i="28"/>
  <c r="T51" i="28" s="1"/>
  <c r="H52" i="28"/>
  <c r="N52" i="28"/>
  <c r="B54" i="28"/>
  <c r="F52" i="28"/>
  <c r="I52" i="28" s="1"/>
  <c r="K53" i="28"/>
  <c r="C53" i="28"/>
  <c r="S53" i="28" s="1"/>
  <c r="M53" i="28"/>
  <c r="A53" i="28"/>
  <c r="J53" i="28"/>
  <c r="L54" i="28" l="1"/>
  <c r="E54" i="28"/>
  <c r="D54" i="28"/>
  <c r="H53" i="28"/>
  <c r="N53" i="28"/>
  <c r="B55" i="28"/>
  <c r="O52" i="28"/>
  <c r="T52" i="28" s="1"/>
  <c r="J54" i="28"/>
  <c r="K54" i="28"/>
  <c r="G54" i="28"/>
  <c r="M54" i="28"/>
  <c r="C54" i="28"/>
  <c r="S54" i="28" s="1"/>
  <c r="A54" i="28"/>
  <c r="F53" i="28"/>
  <c r="I53" i="28" s="1"/>
  <c r="L55" i="28" l="1"/>
  <c r="E55" i="28"/>
  <c r="G55" i="28" s="1"/>
  <c r="D55" i="28"/>
  <c r="H54" i="28"/>
  <c r="O53" i="28"/>
  <c r="T53" i="28" s="1"/>
  <c r="N54" i="28"/>
  <c r="B56" i="28"/>
  <c r="M55" i="28"/>
  <c r="A55" i="28"/>
  <c r="C55" i="28"/>
  <c r="S55" i="28" s="1"/>
  <c r="K55" i="28"/>
  <c r="J55" i="28"/>
  <c r="F54" i="28"/>
  <c r="I54" i="28" s="1"/>
  <c r="L56" i="28" l="1"/>
  <c r="D56" i="28"/>
  <c r="E56" i="28"/>
  <c r="G56" i="28" s="1"/>
  <c r="H55" i="28"/>
  <c r="N55" i="28"/>
  <c r="B57" i="28"/>
  <c r="O54" i="28"/>
  <c r="T54" i="28" s="1"/>
  <c r="F55" i="28"/>
  <c r="I55" i="28" s="1"/>
  <c r="C56" i="28"/>
  <c r="S56" i="28" s="1"/>
  <c r="M56" i="28"/>
  <c r="K56" i="28"/>
  <c r="A56" i="28"/>
  <c r="J56" i="28"/>
  <c r="L57" i="28" l="1"/>
  <c r="E57" i="28"/>
  <c r="G57" i="28" s="1"/>
  <c r="D57" i="28"/>
  <c r="O55" i="28"/>
  <c r="T55" i="28" s="1"/>
  <c r="N56" i="28"/>
  <c r="H56" i="28"/>
  <c r="B58" i="28"/>
  <c r="F56" i="28"/>
  <c r="I56" i="28" s="1"/>
  <c r="K57" i="28"/>
  <c r="C57" i="28"/>
  <c r="S57" i="28" s="1"/>
  <c r="M57" i="28"/>
  <c r="A57" i="28"/>
  <c r="J57" i="28"/>
  <c r="L58" i="28" l="1"/>
  <c r="E58" i="28"/>
  <c r="G58" i="28" s="1"/>
  <c r="D58" i="28"/>
  <c r="O56" i="28"/>
  <c r="T56" i="28" s="1"/>
  <c r="F57" i="28"/>
  <c r="I57" i="28" s="1"/>
  <c r="H57" i="28"/>
  <c r="N57" i="28"/>
  <c r="B59" i="28"/>
  <c r="J58" i="28"/>
  <c r="M58" i="28"/>
  <c r="C58" i="28"/>
  <c r="S58" i="28" s="1"/>
  <c r="A58" i="28"/>
  <c r="K58" i="28"/>
  <c r="L59" i="28" l="1"/>
  <c r="D59" i="28"/>
  <c r="E59" i="28"/>
  <c r="G59" i="28" s="1"/>
  <c r="N58" i="28"/>
  <c r="H58" i="28"/>
  <c r="B60" i="28"/>
  <c r="O57" i="28"/>
  <c r="T57" i="28" s="1"/>
  <c r="A59" i="28"/>
  <c r="M59" i="28"/>
  <c r="K59" i="28"/>
  <c r="J59" i="28"/>
  <c r="C59" i="28"/>
  <c r="S59" i="28" s="1"/>
  <c r="F58" i="28"/>
  <c r="I58" i="28" s="1"/>
  <c r="L60" i="28" l="1"/>
  <c r="D60" i="28"/>
  <c r="E60" i="28"/>
  <c r="O58" i="28"/>
  <c r="T58" i="28" s="1"/>
  <c r="N59" i="28"/>
  <c r="H59" i="28"/>
  <c r="B61" i="28"/>
  <c r="G60" i="28"/>
  <c r="C60" i="28"/>
  <c r="S60" i="28" s="1"/>
  <c r="M60" i="28"/>
  <c r="K60" i="28"/>
  <c r="A60" i="28"/>
  <c r="J60" i="28"/>
  <c r="F59" i="28"/>
  <c r="I59" i="28" s="1"/>
  <c r="L61" i="28" l="1"/>
  <c r="D61" i="28"/>
  <c r="E61" i="28"/>
  <c r="G61" i="28" s="1"/>
  <c r="H60" i="28"/>
  <c r="N60" i="28"/>
  <c r="B62" i="28"/>
  <c r="O59" i="28"/>
  <c r="T59" i="28" s="1"/>
  <c r="K61" i="28"/>
  <c r="C61" i="28"/>
  <c r="S61" i="28" s="1"/>
  <c r="M61" i="28"/>
  <c r="A61" i="28"/>
  <c r="J61" i="28"/>
  <c r="F60" i="28"/>
  <c r="I60" i="28" s="1"/>
  <c r="L62" i="28" l="1"/>
  <c r="E62" i="28"/>
  <c r="G62" i="28" s="1"/>
  <c r="D62" i="28"/>
  <c r="H61" i="28"/>
  <c r="N61" i="28"/>
  <c r="B63" i="28"/>
  <c r="O60" i="28"/>
  <c r="T60" i="28" s="1"/>
  <c r="J62" i="28"/>
  <c r="M62" i="28"/>
  <c r="C62" i="28"/>
  <c r="S62" i="28" s="1"/>
  <c r="A62" i="28"/>
  <c r="K62" i="28"/>
  <c r="F61" i="28"/>
  <c r="I61" i="28" s="1"/>
  <c r="L63" i="28" l="1"/>
  <c r="E63" i="28"/>
  <c r="G63" i="28" s="1"/>
  <c r="D63" i="28"/>
  <c r="N62" i="28"/>
  <c r="H62" i="28"/>
  <c r="B64" i="28"/>
  <c r="O61" i="28"/>
  <c r="T61" i="28" s="1"/>
  <c r="F62" i="28"/>
  <c r="I62" i="28" s="1"/>
  <c r="M63" i="28"/>
  <c r="A63" i="28"/>
  <c r="C63" i="28"/>
  <c r="S63" i="28" s="1"/>
  <c r="K63" i="28"/>
  <c r="J63" i="28"/>
  <c r="L64" i="28" l="1"/>
  <c r="D64" i="28"/>
  <c r="E64" i="28"/>
  <c r="G64" i="28" s="1"/>
  <c r="O62" i="28"/>
  <c r="T62" i="28" s="1"/>
  <c r="N63" i="28"/>
  <c r="H63" i="28"/>
  <c r="B65" i="28"/>
  <c r="F63" i="28"/>
  <c r="I63" i="28" s="1"/>
  <c r="K64" i="28"/>
  <c r="A64" i="28"/>
  <c r="J64" i="28"/>
  <c r="C64" i="28"/>
  <c r="S64" i="28" s="1"/>
  <c r="M64" i="28"/>
  <c r="L65" i="28" l="1"/>
  <c r="D65" i="28"/>
  <c r="E65" i="28"/>
  <c r="G65" i="28" s="1"/>
  <c r="O63" i="28"/>
  <c r="T63" i="28" s="1"/>
  <c r="H64" i="28"/>
  <c r="N64" i="28"/>
  <c r="B66" i="28"/>
  <c r="F64" i="28"/>
  <c r="I64" i="28" s="1"/>
  <c r="K65" i="28"/>
  <c r="C65" i="28"/>
  <c r="S65" i="28" s="1"/>
  <c r="M65" i="28"/>
  <c r="A65" i="28"/>
  <c r="J65" i="28"/>
  <c r="L66" i="28" l="1"/>
  <c r="E66" i="28"/>
  <c r="G66" i="28" s="1"/>
  <c r="D66" i="28"/>
  <c r="H65" i="28"/>
  <c r="N65" i="28"/>
  <c r="F65" i="28"/>
  <c r="I65" i="28" s="1"/>
  <c r="B67" i="28"/>
  <c r="O64" i="28"/>
  <c r="T64" i="28" s="1"/>
  <c r="J66" i="28"/>
  <c r="M66" i="28"/>
  <c r="C66" i="28"/>
  <c r="S66" i="28" s="1"/>
  <c r="A66" i="28"/>
  <c r="K66" i="28"/>
  <c r="L67" i="28" l="1"/>
  <c r="D67" i="28"/>
  <c r="E67" i="28"/>
  <c r="G67" i="28" s="1"/>
  <c r="N66" i="28"/>
  <c r="O65" i="28"/>
  <c r="T65" i="28" s="1"/>
  <c r="H66" i="28"/>
  <c r="B68" i="28"/>
  <c r="F66" i="28"/>
  <c r="I66" i="28" s="1"/>
  <c r="A67" i="28"/>
  <c r="M67" i="28"/>
  <c r="C67" i="28"/>
  <c r="S67" i="28" s="1"/>
  <c r="K67" i="28"/>
  <c r="J67" i="28"/>
  <c r="L68" i="28" l="1"/>
  <c r="E68" i="28"/>
  <c r="G68" i="28" s="1"/>
  <c r="D68" i="28"/>
  <c r="F67" i="28"/>
  <c r="I67" i="28" s="1"/>
  <c r="N67" i="28"/>
  <c r="H67" i="28"/>
  <c r="B69" i="28"/>
  <c r="O66" i="28"/>
  <c r="T66" i="28" s="1"/>
  <c r="C68" i="28"/>
  <c r="S68" i="28" s="1"/>
  <c r="M68" i="28"/>
  <c r="K68" i="28"/>
  <c r="A68" i="28"/>
  <c r="J68" i="28"/>
  <c r="L69" i="28" l="1"/>
  <c r="D69" i="28"/>
  <c r="E69" i="28"/>
  <c r="G69" i="28" s="1"/>
  <c r="H68" i="28"/>
  <c r="F68" i="28"/>
  <c r="I68" i="28" s="1"/>
  <c r="N68" i="28"/>
  <c r="B70" i="28"/>
  <c r="O67" i="28"/>
  <c r="T67" i="28" s="1"/>
  <c r="K69" i="28"/>
  <c r="C69" i="28"/>
  <c r="S69" i="28" s="1"/>
  <c r="A69" i="28"/>
  <c r="J69" i="28"/>
  <c r="M69" i="28"/>
  <c r="L70" i="28" l="1"/>
  <c r="E70" i="28"/>
  <c r="G70" i="28" s="1"/>
  <c r="D70" i="28"/>
  <c r="O68" i="28"/>
  <c r="T68" i="28" s="1"/>
  <c r="H69" i="28"/>
  <c r="N69" i="28"/>
  <c r="B71" i="28"/>
  <c r="F69" i="28"/>
  <c r="I69" i="28" s="1"/>
  <c r="J70" i="28"/>
  <c r="M70" i="28"/>
  <c r="C70" i="28"/>
  <c r="S70" i="28" s="1"/>
  <c r="A70" i="28"/>
  <c r="K70" i="28"/>
  <c r="L71" i="28" l="1"/>
  <c r="D71" i="28"/>
  <c r="E71" i="28"/>
  <c r="G71" i="28" s="1"/>
  <c r="N70" i="28"/>
  <c r="H70" i="28"/>
  <c r="B72" i="28"/>
  <c r="O69" i="28"/>
  <c r="T69" i="28" s="1"/>
  <c r="F70" i="28"/>
  <c r="I70" i="28" s="1"/>
  <c r="M71" i="28"/>
  <c r="A71" i="28"/>
  <c r="J71" i="28"/>
  <c r="C71" i="28"/>
  <c r="S71" i="28" s="1"/>
  <c r="K71" i="28"/>
  <c r="L72" i="28" l="1"/>
  <c r="E72" i="28"/>
  <c r="G72" i="28" s="1"/>
  <c r="D72" i="28"/>
  <c r="H71" i="28"/>
  <c r="N71" i="28"/>
  <c r="B73" i="28"/>
  <c r="O70" i="28"/>
  <c r="T70" i="28" s="1"/>
  <c r="F71" i="28"/>
  <c r="I71" i="28" s="1"/>
  <c r="C72" i="28"/>
  <c r="S72" i="28" s="1"/>
  <c r="M72" i="28"/>
  <c r="K72" i="28"/>
  <c r="A72" i="28"/>
  <c r="J72" i="28"/>
  <c r="L73" i="28" l="1"/>
  <c r="E73" i="28"/>
  <c r="G73" i="28" s="1"/>
  <c r="D73" i="28"/>
  <c r="O71" i="28"/>
  <c r="T71" i="28" s="1"/>
  <c r="N72" i="28"/>
  <c r="H72" i="28"/>
  <c r="B74" i="28"/>
  <c r="F72" i="28"/>
  <c r="I72" i="28" s="1"/>
  <c r="K73" i="28"/>
  <c r="C73" i="28"/>
  <c r="S73" i="28" s="1"/>
  <c r="M73" i="28"/>
  <c r="A73" i="28"/>
  <c r="J73" i="28"/>
  <c r="L74" i="28" l="1"/>
  <c r="D74" i="28"/>
  <c r="E74" i="28"/>
  <c r="G74" i="28" s="1"/>
  <c r="H73" i="28"/>
  <c r="N73" i="28"/>
  <c r="B75" i="28"/>
  <c r="O72" i="28"/>
  <c r="T72" i="28" s="1"/>
  <c r="F73" i="28"/>
  <c r="I73" i="28" s="1"/>
  <c r="J74" i="28"/>
  <c r="C74" i="28"/>
  <c r="S74" i="28" s="1"/>
  <c r="M74" i="28"/>
  <c r="A74" i="28"/>
  <c r="K74" i="28"/>
  <c r="L75" i="28" l="1"/>
  <c r="E75" i="28"/>
  <c r="D75" i="28"/>
  <c r="O73" i="28"/>
  <c r="T73" i="28" s="1"/>
  <c r="N74" i="28"/>
  <c r="H74" i="28"/>
  <c r="B76" i="28"/>
  <c r="F74" i="28"/>
  <c r="I74" i="28" s="1"/>
  <c r="A75" i="28"/>
  <c r="M75" i="28"/>
  <c r="G75" i="28"/>
  <c r="K75" i="28"/>
  <c r="J75" i="28"/>
  <c r="C75" i="28"/>
  <c r="S75" i="28" s="1"/>
  <c r="L76" i="28" l="1"/>
  <c r="D76" i="28"/>
  <c r="E76" i="28"/>
  <c r="G76" i="28" s="1"/>
  <c r="H75" i="28"/>
  <c r="N75" i="28"/>
  <c r="B77" i="28"/>
  <c r="O74" i="28"/>
  <c r="T74" i="28" s="1"/>
  <c r="F75" i="28"/>
  <c r="I75" i="28" s="1"/>
  <c r="J76" i="28"/>
  <c r="M76" i="28"/>
  <c r="K76" i="28"/>
  <c r="C76" i="28"/>
  <c r="S76" i="28" s="1"/>
  <c r="A76" i="28"/>
  <c r="L77" i="28" l="1"/>
  <c r="E77" i="28"/>
  <c r="D77" i="28"/>
  <c r="N76" i="28"/>
  <c r="H76" i="28"/>
  <c r="B78" i="28"/>
  <c r="O75" i="28"/>
  <c r="T75" i="28" s="1"/>
  <c r="A77" i="28"/>
  <c r="M77" i="28"/>
  <c r="K77" i="28"/>
  <c r="C77" i="28"/>
  <c r="S77" i="28" s="1"/>
  <c r="J77" i="28"/>
  <c r="F76" i="28"/>
  <c r="I76" i="28" s="1"/>
  <c r="L78" i="28" l="1"/>
  <c r="E78" i="28"/>
  <c r="D78" i="28"/>
  <c r="N77" i="28"/>
  <c r="H77" i="28"/>
  <c r="B79" i="28"/>
  <c r="M78" i="28"/>
  <c r="C78" i="28"/>
  <c r="S78" i="28" s="1"/>
  <c r="W3" i="28" s="1"/>
  <c r="O76" i="28"/>
  <c r="T76" i="28" s="1"/>
  <c r="G77" i="28"/>
  <c r="F77" i="28"/>
  <c r="I77" i="28" s="1"/>
  <c r="L79" i="28" l="1"/>
  <c r="D79" i="28"/>
  <c r="E79" i="28"/>
  <c r="O77" i="28"/>
  <c r="T77" i="28" s="1"/>
  <c r="H78" i="28"/>
  <c r="N78" i="28"/>
  <c r="B80" i="28"/>
  <c r="M79" i="28"/>
  <c r="C79" i="28"/>
  <c r="N79" i="28"/>
  <c r="O79" i="28"/>
  <c r="L80" i="28" l="1"/>
  <c r="E80" i="28"/>
  <c r="D80" i="28"/>
  <c r="O78" i="28"/>
  <c r="T78" i="28" s="1"/>
  <c r="O80" i="28"/>
  <c r="N80" i="28"/>
  <c r="M80" i="28"/>
  <c r="C80" i="28"/>
  <c r="B81" i="28"/>
  <c r="H79" i="28"/>
  <c r="L81" i="28" l="1"/>
  <c r="E81" i="28"/>
  <c r="D81" i="28"/>
  <c r="N81" i="28"/>
  <c r="O81" i="28"/>
  <c r="M81" i="28"/>
  <c r="C81" i="28"/>
  <c r="B82" i="28"/>
  <c r="H80" i="28"/>
  <c r="L82" i="28" l="1"/>
  <c r="D82" i="28"/>
  <c r="E82" i="28"/>
  <c r="H81" i="28"/>
  <c r="O82" i="28"/>
  <c r="M82" i="28"/>
  <c r="N82" i="28"/>
  <c r="C82" i="28"/>
  <c r="H82" i="28" l="1"/>
  <c r="C9" i="28"/>
  <c r="X2" i="13" l="1"/>
  <c r="W2" i="13"/>
  <c r="X1" i="13"/>
  <c r="W1" i="13"/>
  <c r="C18" i="13" l="1"/>
  <c r="T18" i="13" s="1"/>
  <c r="L45" i="9"/>
  <c r="L46" i="9"/>
  <c r="L44" i="9"/>
  <c r="L43" i="9"/>
  <c r="C6" i="23"/>
  <c r="B19" i="23" l="1"/>
  <c r="B20" i="23" s="1"/>
  <c r="B21" i="23" l="1"/>
  <c r="B22" i="23" s="1"/>
  <c r="B23" i="23" l="1"/>
  <c r="B24" i="23" l="1"/>
  <c r="B25" i="23" l="1"/>
  <c r="B26" i="23" l="1"/>
  <c r="B27" i="23" l="1"/>
  <c r="B28" i="23" l="1"/>
  <c r="B29" i="23" l="1"/>
  <c r="B30" i="23" l="1"/>
  <c r="B31" i="23" l="1"/>
  <c r="B32" i="23" l="1"/>
  <c r="B33" i="23" l="1"/>
  <c r="B34" i="23" l="1"/>
  <c r="B35" i="23" l="1"/>
  <c r="B36" i="23" l="1"/>
  <c r="B37" i="23" l="1"/>
  <c r="B38" i="23" l="1"/>
  <c r="B39" i="23" l="1"/>
  <c r="B40" i="23" l="1"/>
  <c r="B41" i="23" l="1"/>
  <c r="B42" i="23" l="1"/>
  <c r="B43" i="23" l="1"/>
  <c r="B44" i="23" l="1"/>
  <c r="B45" i="23" l="1"/>
  <c r="B46" i="23" l="1"/>
  <c r="B47" i="23" l="1"/>
  <c r="B48" i="23" l="1"/>
  <c r="B49" i="23" l="1"/>
  <c r="B50" i="23" l="1"/>
  <c r="B51" i="23" l="1"/>
  <c r="B52" i="23" l="1"/>
  <c r="B53" i="23" l="1"/>
  <c r="B54" i="23" l="1"/>
  <c r="B55" i="23" l="1"/>
  <c r="B56" i="23" l="1"/>
  <c r="B57" i="23" l="1"/>
  <c r="B58" i="23" l="1"/>
  <c r="B59" i="23" l="1"/>
  <c r="B60" i="23" l="1"/>
  <c r="B61" i="23" l="1"/>
  <c r="B62" i="23" l="1"/>
  <c r="B63" i="23" l="1"/>
  <c r="B64" i="23" l="1"/>
  <c r="B65" i="23" l="1"/>
  <c r="B66" i="23" l="1"/>
  <c r="B67" i="23" l="1"/>
  <c r="B68" i="23" l="1"/>
  <c r="B69" i="23" l="1"/>
  <c r="B70" i="23" l="1"/>
  <c r="B71" i="23" l="1"/>
  <c r="B72" i="23" l="1"/>
  <c r="B73" i="23" l="1"/>
  <c r="B74" i="23" l="1"/>
  <c r="A74" i="23" s="1"/>
  <c r="B75" i="23"/>
  <c r="A75" i="23" l="1"/>
  <c r="B76" i="23"/>
  <c r="B77" i="23" l="1"/>
  <c r="A76" i="23"/>
  <c r="B78" i="23" l="1"/>
  <c r="L78" i="23" s="1"/>
  <c r="A77" i="23"/>
  <c r="A78" i="23" l="1"/>
  <c r="G78" i="23"/>
  <c r="B79" i="23"/>
  <c r="L79" i="23" s="1"/>
  <c r="F78" i="23"/>
  <c r="N79" i="23" l="1"/>
  <c r="B80" i="23"/>
  <c r="L80" i="23" s="1"/>
  <c r="F79" i="23"/>
  <c r="K79" i="23"/>
  <c r="M79" i="23"/>
  <c r="C79" i="23"/>
  <c r="S79" i="23" s="1"/>
  <c r="J79" i="23"/>
  <c r="A79" i="23"/>
  <c r="O79" i="23"/>
  <c r="G79" i="23"/>
  <c r="B81" i="23" l="1"/>
  <c r="L81" i="23" s="1"/>
  <c r="F80" i="23"/>
  <c r="M80" i="23"/>
  <c r="K80" i="23"/>
  <c r="O80" i="23"/>
  <c r="N80" i="23"/>
  <c r="C80" i="23"/>
  <c r="S80" i="23" s="1"/>
  <c r="J80" i="23"/>
  <c r="A80" i="23"/>
  <c r="G80" i="23"/>
  <c r="J81" i="23" l="1"/>
  <c r="G81" i="23"/>
  <c r="M81" i="23"/>
  <c r="A81" i="23"/>
  <c r="K81" i="23"/>
  <c r="O81" i="23"/>
  <c r="B82" i="23"/>
  <c r="L82" i="23" s="1"/>
  <c r="N81" i="23"/>
  <c r="C81" i="23"/>
  <c r="S81" i="23" s="1"/>
  <c r="F81" i="23"/>
  <c r="G82" i="23" l="1"/>
  <c r="C82" i="23"/>
  <c r="S82" i="23" s="1"/>
  <c r="N82" i="23"/>
  <c r="J82" i="23"/>
  <c r="F82" i="23"/>
  <c r="M82" i="23"/>
  <c r="O82" i="23"/>
  <c r="A82" i="23"/>
  <c r="K82" i="23"/>
  <c r="C13" i="23" l="1"/>
  <c r="L17" i="23"/>
  <c r="C18" i="23"/>
  <c r="S18" i="23" s="1"/>
  <c r="E24" i="23" l="1"/>
  <c r="E32" i="23"/>
  <c r="E40" i="23"/>
  <c r="E48" i="23"/>
  <c r="E56" i="23"/>
  <c r="E64" i="23"/>
  <c r="E72" i="23"/>
  <c r="E80" i="23"/>
  <c r="D23" i="23"/>
  <c r="D31" i="23"/>
  <c r="D39" i="23"/>
  <c r="D47" i="23"/>
  <c r="D55" i="23"/>
  <c r="D63" i="23"/>
  <c r="D71" i="23"/>
  <c r="D79" i="23"/>
  <c r="E18" i="23"/>
  <c r="E45" i="23"/>
  <c r="E77" i="23"/>
  <c r="D52" i="23"/>
  <c r="E54" i="23"/>
  <c r="D29" i="23"/>
  <c r="D61" i="23"/>
  <c r="E39" i="23"/>
  <c r="E71" i="23"/>
  <c r="D38" i="23"/>
  <c r="D70" i="23"/>
  <c r="E25" i="23"/>
  <c r="E33" i="23"/>
  <c r="E41" i="23"/>
  <c r="E49" i="23"/>
  <c r="E57" i="23"/>
  <c r="E65" i="23"/>
  <c r="E73" i="23"/>
  <c r="E81" i="23"/>
  <c r="D24" i="23"/>
  <c r="H24" i="23" s="1"/>
  <c r="D32" i="23"/>
  <c r="H32" i="23" s="1"/>
  <c r="D40" i="23"/>
  <c r="D48" i="23"/>
  <c r="D56" i="23"/>
  <c r="D64" i="23"/>
  <c r="D72" i="23"/>
  <c r="D80" i="23"/>
  <c r="E36" i="23"/>
  <c r="E68" i="23"/>
  <c r="D35" i="23"/>
  <c r="D51" i="23"/>
  <c r="D75" i="23"/>
  <c r="E37" i="23"/>
  <c r="E61" i="23"/>
  <c r="D28" i="23"/>
  <c r="D44" i="23"/>
  <c r="D76" i="23"/>
  <c r="E22" i="23"/>
  <c r="E46" i="23"/>
  <c r="E78" i="23"/>
  <c r="D45" i="23"/>
  <c r="H45" i="23" s="1"/>
  <c r="D77" i="23"/>
  <c r="E47" i="23"/>
  <c r="D22" i="23"/>
  <c r="D62" i="23"/>
  <c r="E26" i="23"/>
  <c r="E34" i="23"/>
  <c r="E42" i="23"/>
  <c r="E50" i="23"/>
  <c r="E58" i="23"/>
  <c r="E66" i="23"/>
  <c r="E74" i="23"/>
  <c r="E82" i="23"/>
  <c r="D25" i="23"/>
  <c r="D33" i="23"/>
  <c r="D41" i="23"/>
  <c r="D49" i="23"/>
  <c r="D57" i="23"/>
  <c r="D65" i="23"/>
  <c r="H65" i="23" s="1"/>
  <c r="D73" i="23"/>
  <c r="H73" i="23" s="1"/>
  <c r="D81" i="23"/>
  <c r="E20" i="23"/>
  <c r="E44" i="23"/>
  <c r="E60" i="23"/>
  <c r="D27" i="23"/>
  <c r="D59" i="23"/>
  <c r="E29" i="23"/>
  <c r="E69" i="23"/>
  <c r="D36" i="23"/>
  <c r="D60" i="23"/>
  <c r="D18" i="23"/>
  <c r="H18" i="23" s="1"/>
  <c r="E38" i="23"/>
  <c r="E70" i="23"/>
  <c r="D37" i="23"/>
  <c r="H37" i="23" s="1"/>
  <c r="D69" i="23"/>
  <c r="E23" i="23"/>
  <c r="E55" i="23"/>
  <c r="E79" i="23"/>
  <c r="D46" i="23"/>
  <c r="E27" i="23"/>
  <c r="E35" i="23"/>
  <c r="E43" i="23"/>
  <c r="E51" i="23"/>
  <c r="E59" i="23"/>
  <c r="E67" i="23"/>
  <c r="E75" i="23"/>
  <c r="E19" i="23"/>
  <c r="D26" i="23"/>
  <c r="D34" i="23"/>
  <c r="D42" i="23"/>
  <c r="D50" i="23"/>
  <c r="H50" i="23" s="1"/>
  <c r="D58" i="23"/>
  <c r="D66" i="23"/>
  <c r="D74" i="23"/>
  <c r="D82" i="23"/>
  <c r="E28" i="23"/>
  <c r="E52" i="23"/>
  <c r="E76" i="23"/>
  <c r="D43" i="23"/>
  <c r="D67" i="23"/>
  <c r="E21" i="23"/>
  <c r="E53" i="23"/>
  <c r="D20" i="23"/>
  <c r="D68" i="23"/>
  <c r="E30" i="23"/>
  <c r="E62" i="23"/>
  <c r="D21" i="23"/>
  <c r="D53" i="23"/>
  <c r="E31" i="23"/>
  <c r="E63" i="23"/>
  <c r="D30" i="23"/>
  <c r="D54" i="23"/>
  <c r="D78" i="23"/>
  <c r="H78" i="23" s="1"/>
  <c r="J17" i="9"/>
  <c r="H30" i="23" l="1"/>
  <c r="H58" i="23"/>
  <c r="H60" i="23"/>
  <c r="H61" i="23"/>
  <c r="H42" i="23"/>
  <c r="H40" i="23"/>
  <c r="H43" i="23"/>
  <c r="H57" i="23"/>
  <c r="H77" i="23"/>
  <c r="H67" i="23"/>
  <c r="H81" i="23"/>
  <c r="H22" i="23"/>
  <c r="H21" i="23"/>
  <c r="H72" i="23"/>
  <c r="H26" i="23"/>
  <c r="H20" i="23"/>
  <c r="H41" i="23"/>
  <c r="H62" i="23"/>
  <c r="H76" i="23"/>
  <c r="H19" i="23"/>
  <c r="H53" i="23"/>
  <c r="H44" i="23"/>
  <c r="H55" i="23"/>
  <c r="H28" i="23"/>
  <c r="H80" i="23"/>
  <c r="H70" i="23"/>
  <c r="H52" i="23"/>
  <c r="H64" i="23"/>
  <c r="H74" i="23"/>
  <c r="H51" i="23"/>
  <c r="H79" i="23"/>
  <c r="H33" i="23"/>
  <c r="H48" i="23"/>
  <c r="H66" i="23"/>
  <c r="H36" i="23"/>
  <c r="H25" i="23"/>
  <c r="H35" i="23"/>
  <c r="H29" i="23"/>
  <c r="H71" i="23"/>
  <c r="H63" i="23"/>
  <c r="H69" i="23"/>
  <c r="H47" i="23"/>
  <c r="H34" i="23"/>
  <c r="H59" i="23"/>
  <c r="H38" i="23"/>
  <c r="H39" i="23"/>
  <c r="H68" i="23"/>
  <c r="H27" i="23"/>
  <c r="H49" i="23"/>
  <c r="H31" i="23"/>
  <c r="H54" i="23"/>
  <c r="H82" i="23"/>
  <c r="H46" i="23"/>
  <c r="H75" i="23"/>
  <c r="H56" i="23"/>
  <c r="H23" i="23"/>
  <c r="V1" i="23"/>
  <c r="W1" i="23"/>
  <c r="V2" i="23"/>
  <c r="W2" i="23"/>
  <c r="A18" i="23"/>
  <c r="C17" i="23"/>
  <c r="S17" i="23" s="1"/>
  <c r="C8" i="23"/>
  <c r="C8" i="14"/>
  <c r="J18" i="1"/>
  <c r="I78" i="23" l="1"/>
  <c r="I79" i="23"/>
  <c r="I80" i="23"/>
  <c r="I81" i="23"/>
  <c r="I82" i="23"/>
  <c r="C11" i="23"/>
  <c r="B13" i="15"/>
  <c r="C13" i="15"/>
  <c r="F18" i="23" l="1"/>
  <c r="I18" i="23" s="1"/>
  <c r="A19" i="23"/>
  <c r="C19" i="23"/>
  <c r="A20" i="23"/>
  <c r="G18" i="23"/>
  <c r="C6" i="13"/>
  <c r="C11" i="1"/>
  <c r="C8" i="1"/>
  <c r="C6" i="1"/>
  <c r="C13" i="13"/>
  <c r="C11" i="13"/>
  <c r="E24" i="9"/>
  <c r="D18" i="1" l="1"/>
  <c r="E18" i="1"/>
  <c r="E18" i="13"/>
  <c r="D18" i="13"/>
  <c r="S19" i="23"/>
  <c r="B19" i="13"/>
  <c r="C20" i="23"/>
  <c r="S20" i="23" s="1"/>
  <c r="G19" i="23"/>
  <c r="F19" i="23"/>
  <c r="I19" i="23" s="1"/>
  <c r="L2" i="15"/>
  <c r="E60" i="9"/>
  <c r="E41" i="9"/>
  <c r="H18" i="13" l="1"/>
  <c r="E19" i="13"/>
  <c r="D19" i="13"/>
  <c r="H19" i="13" s="1"/>
  <c r="H18" i="1"/>
  <c r="C19" i="13"/>
  <c r="T19" i="13" s="1"/>
  <c r="B20" i="13"/>
  <c r="G20" i="23"/>
  <c r="C21" i="23"/>
  <c r="S21" i="23" s="1"/>
  <c r="M21" i="23"/>
  <c r="A21" i="23"/>
  <c r="F20" i="23"/>
  <c r="I20" i="23" s="1"/>
  <c r="R18" i="1"/>
  <c r="K2" i="15"/>
  <c r="K1" i="15"/>
  <c r="L1" i="15" s="1"/>
  <c r="R18" i="14"/>
  <c r="R17" i="14"/>
  <c r="C18" i="14"/>
  <c r="C19" i="14" s="1"/>
  <c r="C20" i="14" s="1"/>
  <c r="C21" i="14" s="1"/>
  <c r="C22" i="14" s="1"/>
  <c r="C23" i="14" s="1"/>
  <c r="C24" i="14" s="1"/>
  <c r="C25" i="14" s="1"/>
  <c r="C26" i="14" s="1"/>
  <c r="C27" i="14" s="1"/>
  <c r="C28" i="14" s="1"/>
  <c r="C29" i="14" s="1"/>
  <c r="C17" i="14"/>
  <c r="C17" i="13"/>
  <c r="T17" i="13" s="1"/>
  <c r="R17" i="1"/>
  <c r="C18" i="1"/>
  <c r="C17" i="1"/>
  <c r="C11" i="14"/>
  <c r="I20" i="9"/>
  <c r="J75" i="9"/>
  <c r="I76" i="9"/>
  <c r="I59" i="9"/>
  <c r="J58" i="9"/>
  <c r="J19" i="9"/>
  <c r="E20" i="13" l="1"/>
  <c r="D20" i="13"/>
  <c r="H20" i="13" s="1"/>
  <c r="L24" i="14"/>
  <c r="L25" i="14"/>
  <c r="L26" i="14"/>
  <c r="L29" i="14"/>
  <c r="L19" i="14"/>
  <c r="L27" i="14"/>
  <c r="L20" i="14"/>
  <c r="L28" i="14"/>
  <c r="L22" i="14"/>
  <c r="L23" i="14"/>
  <c r="L21" i="14"/>
  <c r="L17" i="14"/>
  <c r="L18" i="14"/>
  <c r="M18" i="23"/>
  <c r="M74" i="23"/>
  <c r="M75" i="23"/>
  <c r="M76" i="23"/>
  <c r="M77" i="23"/>
  <c r="M78" i="23"/>
  <c r="M19" i="23"/>
  <c r="M20" i="23"/>
  <c r="L17" i="1"/>
  <c r="L18" i="1"/>
  <c r="B21" i="13"/>
  <c r="C20" i="13"/>
  <c r="T20" i="13" s="1"/>
  <c r="G21" i="23"/>
  <c r="A22" i="23"/>
  <c r="C22" i="23"/>
  <c r="M22" i="23"/>
  <c r="F21" i="23"/>
  <c r="I21" i="23" s="1"/>
  <c r="M17" i="23"/>
  <c r="K42" i="9"/>
  <c r="N17" i="13"/>
  <c r="N18" i="13"/>
  <c r="R19" i="1"/>
  <c r="R19" i="14"/>
  <c r="E21" i="13" l="1"/>
  <c r="D21" i="13"/>
  <c r="H21" i="13" s="1"/>
  <c r="S22" i="23"/>
  <c r="B22" i="13"/>
  <c r="C21" i="13"/>
  <c r="G22" i="23"/>
  <c r="F22" i="23"/>
  <c r="I22" i="23" s="1"/>
  <c r="M23" i="23"/>
  <c r="C23" i="23"/>
  <c r="A23" i="23"/>
  <c r="R20" i="14"/>
  <c r="R20" i="1"/>
  <c r="J74" i="9"/>
  <c r="J73" i="9"/>
  <c r="V2" i="1"/>
  <c r="U2" i="1"/>
  <c r="V1" i="1"/>
  <c r="U1" i="1"/>
  <c r="E22" i="13" l="1"/>
  <c r="D22" i="13"/>
  <c r="H22" i="13" s="1"/>
  <c r="S23" i="23"/>
  <c r="K18" i="14"/>
  <c r="K21" i="14"/>
  <c r="K22" i="14"/>
  <c r="K23" i="14"/>
  <c r="K24" i="14"/>
  <c r="K20" i="14"/>
  <c r="K25" i="14"/>
  <c r="K26" i="14"/>
  <c r="K28" i="14"/>
  <c r="K19" i="14"/>
  <c r="K27" i="14"/>
  <c r="J19" i="14"/>
  <c r="J20" i="14"/>
  <c r="J28" i="14"/>
  <c r="J21" i="14"/>
  <c r="J29" i="14"/>
  <c r="J22" i="14"/>
  <c r="J25" i="14"/>
  <c r="J23" i="14"/>
  <c r="J26" i="14"/>
  <c r="J24" i="14"/>
  <c r="J27" i="14"/>
  <c r="C22" i="13"/>
  <c r="T21" i="13"/>
  <c r="B23" i="13"/>
  <c r="G23" i="23"/>
  <c r="M24" i="23"/>
  <c r="A24" i="23"/>
  <c r="C24" i="23"/>
  <c r="S24" i="23" s="1"/>
  <c r="F23" i="23"/>
  <c r="I23" i="23" s="1"/>
  <c r="R21" i="14"/>
  <c r="R21" i="1"/>
  <c r="K17" i="14"/>
  <c r="K29" i="14"/>
  <c r="J17" i="14"/>
  <c r="J18" i="14"/>
  <c r="M18" i="14" s="1"/>
  <c r="I18" i="14"/>
  <c r="G18" i="14"/>
  <c r="B19" i="14"/>
  <c r="E23" i="13" l="1"/>
  <c r="D23" i="13"/>
  <c r="H23" i="13" s="1"/>
  <c r="C23" i="13"/>
  <c r="T22" i="13"/>
  <c r="B24" i="13"/>
  <c r="G24" i="23"/>
  <c r="M25" i="23"/>
  <c r="A25" i="23"/>
  <c r="C25" i="23"/>
  <c r="S25" i="23" s="1"/>
  <c r="F24" i="23"/>
  <c r="I24" i="23" s="1"/>
  <c r="R22" i="14"/>
  <c r="R22" i="1"/>
  <c r="G18" i="13"/>
  <c r="G19" i="13" s="1"/>
  <c r="G20" i="13" s="1"/>
  <c r="G21" i="13" s="1"/>
  <c r="G22" i="13" s="1"/>
  <c r="N19" i="13"/>
  <c r="F18" i="13"/>
  <c r="I18" i="13" s="1"/>
  <c r="F18" i="14"/>
  <c r="H18" i="14"/>
  <c r="B20" i="14"/>
  <c r="D24" i="13" l="1"/>
  <c r="E24" i="13"/>
  <c r="L20" i="23"/>
  <c r="L77" i="23"/>
  <c r="L76" i="23"/>
  <c r="B25" i="13"/>
  <c r="C24" i="13"/>
  <c r="T23" i="13"/>
  <c r="G25" i="23"/>
  <c r="M26" i="23"/>
  <c r="C26" i="23"/>
  <c r="S26" i="23" s="1"/>
  <c r="A26" i="23"/>
  <c r="L26" i="23" s="1"/>
  <c r="F25" i="23"/>
  <c r="I25" i="23" s="1"/>
  <c r="F19" i="13"/>
  <c r="I19" i="13" s="1"/>
  <c r="G23" i="13"/>
  <c r="R23" i="14"/>
  <c r="R23" i="1"/>
  <c r="N20" i="13"/>
  <c r="M19" i="14"/>
  <c r="H19" i="14"/>
  <c r="F19" i="14"/>
  <c r="I19" i="14"/>
  <c r="B21" i="14"/>
  <c r="G19" i="14"/>
  <c r="H24" i="13" l="1"/>
  <c r="E25" i="13"/>
  <c r="D25" i="13"/>
  <c r="L21" i="23"/>
  <c r="L24" i="23"/>
  <c r="L75" i="23"/>
  <c r="L22" i="23"/>
  <c r="L18" i="23"/>
  <c r="L19" i="23"/>
  <c r="L23" i="23"/>
  <c r="L25" i="23"/>
  <c r="L74" i="23"/>
  <c r="C25" i="13"/>
  <c r="T24" i="13"/>
  <c r="B26" i="13"/>
  <c r="G26" i="23"/>
  <c r="A27" i="23"/>
  <c r="L27" i="23" s="1"/>
  <c r="C27" i="23"/>
  <c r="S27" i="23" s="1"/>
  <c r="M27" i="23"/>
  <c r="F26" i="23"/>
  <c r="I26" i="23" s="1"/>
  <c r="G24" i="13"/>
  <c r="F20" i="13"/>
  <c r="I20" i="13" s="1"/>
  <c r="R24" i="14"/>
  <c r="R24" i="1"/>
  <c r="N21" i="13"/>
  <c r="M20" i="14"/>
  <c r="N19" i="14"/>
  <c r="S19" i="14" s="1"/>
  <c r="G20" i="14"/>
  <c r="F20" i="14"/>
  <c r="H20" i="14"/>
  <c r="I20" i="14"/>
  <c r="B22" i="14"/>
  <c r="H25" i="13" l="1"/>
  <c r="E26" i="13"/>
  <c r="D26" i="13"/>
  <c r="H26" i="13" s="1"/>
  <c r="I38" i="9"/>
  <c r="B27" i="13"/>
  <c r="C26" i="13"/>
  <c r="T25" i="13"/>
  <c r="G27" i="23"/>
  <c r="M28" i="23"/>
  <c r="C28" i="23"/>
  <c r="S28" i="23" s="1"/>
  <c r="A28" i="23"/>
  <c r="L28" i="23" s="1"/>
  <c r="F27" i="23"/>
  <c r="I27" i="23" s="1"/>
  <c r="G25" i="13"/>
  <c r="F21" i="13"/>
  <c r="I21" i="13" s="1"/>
  <c r="R25" i="14"/>
  <c r="R25" i="1"/>
  <c r="N22" i="13"/>
  <c r="M21" i="14"/>
  <c r="I21" i="14"/>
  <c r="F21" i="14"/>
  <c r="G21" i="14"/>
  <c r="N20" i="14"/>
  <c r="S20" i="14" s="1"/>
  <c r="B23" i="14"/>
  <c r="H21" i="14"/>
  <c r="E27" i="13" l="1"/>
  <c r="D27" i="13"/>
  <c r="C27" i="13"/>
  <c r="T26" i="13"/>
  <c r="B28" i="13"/>
  <c r="G28" i="23"/>
  <c r="A29" i="23"/>
  <c r="L29" i="23" s="1"/>
  <c r="M29" i="23"/>
  <c r="C29" i="23"/>
  <c r="S29" i="23" s="1"/>
  <c r="F28" i="23"/>
  <c r="I28" i="23" s="1"/>
  <c r="F22" i="13"/>
  <c r="I22" i="13" s="1"/>
  <c r="G26" i="13"/>
  <c r="R26" i="14"/>
  <c r="R26" i="1"/>
  <c r="N23" i="13"/>
  <c r="F22" i="14"/>
  <c r="M22" i="14"/>
  <c r="H22" i="14"/>
  <c r="N21" i="14"/>
  <c r="S21" i="14" s="1"/>
  <c r="I22" i="14"/>
  <c r="G22" i="14"/>
  <c r="B24" i="14"/>
  <c r="H27" i="13" l="1"/>
  <c r="E28" i="13"/>
  <c r="D28" i="13"/>
  <c r="H28" i="13" s="1"/>
  <c r="B29" i="13"/>
  <c r="C28" i="13"/>
  <c r="T27" i="13"/>
  <c r="G29" i="23"/>
  <c r="M30" i="23"/>
  <c r="A30" i="23"/>
  <c r="L30" i="23" s="1"/>
  <c r="C30" i="23"/>
  <c r="S30" i="23" s="1"/>
  <c r="F29" i="23"/>
  <c r="I29" i="23" s="1"/>
  <c r="G27" i="13"/>
  <c r="F23" i="13"/>
  <c r="I23" i="13" s="1"/>
  <c r="R27" i="14"/>
  <c r="R27" i="1"/>
  <c r="N24" i="13"/>
  <c r="M23" i="14"/>
  <c r="N22" i="14"/>
  <c r="S22" i="14" s="1"/>
  <c r="I23" i="14"/>
  <c r="F23" i="14"/>
  <c r="H23" i="14"/>
  <c r="B25" i="14"/>
  <c r="G23" i="14"/>
  <c r="E29" i="13" l="1"/>
  <c r="D29" i="13"/>
  <c r="H29" i="13" s="1"/>
  <c r="C29" i="13"/>
  <c r="T28" i="13"/>
  <c r="B30" i="13"/>
  <c r="G30" i="23"/>
  <c r="A31" i="23"/>
  <c r="L31" i="23" s="1"/>
  <c r="F30" i="23"/>
  <c r="I30" i="23" s="1"/>
  <c r="C31" i="23"/>
  <c r="S31" i="23" s="1"/>
  <c r="M31" i="23"/>
  <c r="G28" i="13"/>
  <c r="F24" i="13"/>
  <c r="I24" i="13" s="1"/>
  <c r="R28" i="14"/>
  <c r="R28" i="1"/>
  <c r="N25" i="13"/>
  <c r="N23" i="14"/>
  <c r="S23" i="14" s="1"/>
  <c r="M24" i="14"/>
  <c r="I24" i="14"/>
  <c r="G24" i="14"/>
  <c r="H24" i="14"/>
  <c r="F24" i="14"/>
  <c r="B26" i="14"/>
  <c r="E30" i="13" l="1"/>
  <c r="D30" i="13"/>
  <c r="H30" i="13" s="1"/>
  <c r="B31" i="13"/>
  <c r="C30" i="13"/>
  <c r="T29" i="13"/>
  <c r="G31" i="23"/>
  <c r="C32" i="23"/>
  <c r="S32" i="23" s="1"/>
  <c r="F31" i="23"/>
  <c r="I31" i="23" s="1"/>
  <c r="A32" i="23"/>
  <c r="L32" i="23" s="1"/>
  <c r="M32" i="23"/>
  <c r="G29" i="13"/>
  <c r="F25" i="13"/>
  <c r="I25" i="13" s="1"/>
  <c r="R29" i="14"/>
  <c r="R29" i="1"/>
  <c r="N26" i="13"/>
  <c r="I25" i="14"/>
  <c r="M25" i="14"/>
  <c r="N24" i="14"/>
  <c r="S24" i="14" s="1"/>
  <c r="G25" i="14"/>
  <c r="F25" i="14"/>
  <c r="H25" i="14"/>
  <c r="B27" i="14"/>
  <c r="E31" i="13" l="1"/>
  <c r="D31" i="13"/>
  <c r="H31" i="13" s="1"/>
  <c r="C31" i="13"/>
  <c r="T30" i="13"/>
  <c r="B32" i="13"/>
  <c r="G32" i="23"/>
  <c r="M33" i="23"/>
  <c r="A33" i="23"/>
  <c r="L33" i="23" s="1"/>
  <c r="C33" i="23"/>
  <c r="S33" i="23" s="1"/>
  <c r="F32" i="23"/>
  <c r="I32" i="23" s="1"/>
  <c r="G30" i="13"/>
  <c r="F26" i="13"/>
  <c r="I26" i="13" s="1"/>
  <c r="R30" i="1"/>
  <c r="N27" i="13"/>
  <c r="I26" i="14"/>
  <c r="M26" i="14"/>
  <c r="N25" i="14"/>
  <c r="S25" i="14" s="1"/>
  <c r="G26" i="14"/>
  <c r="H26" i="14"/>
  <c r="F26" i="14"/>
  <c r="B28" i="14"/>
  <c r="D32" i="13" l="1"/>
  <c r="E32" i="13"/>
  <c r="B33" i="13"/>
  <c r="C32" i="13"/>
  <c r="T31" i="13"/>
  <c r="G33" i="23"/>
  <c r="M34" i="23"/>
  <c r="A34" i="23"/>
  <c r="L34" i="23" s="1"/>
  <c r="F33" i="23"/>
  <c r="I33" i="23" s="1"/>
  <c r="C34" i="23"/>
  <c r="S34" i="23" s="1"/>
  <c r="F27" i="13"/>
  <c r="I27" i="13" s="1"/>
  <c r="G31" i="13"/>
  <c r="R31" i="1"/>
  <c r="N28" i="13"/>
  <c r="I27" i="14"/>
  <c r="M27" i="14"/>
  <c r="N26" i="14"/>
  <c r="S26" i="14" s="1"/>
  <c r="H27" i="14"/>
  <c r="F27" i="14"/>
  <c r="G27" i="14"/>
  <c r="B29" i="14"/>
  <c r="H32" i="13" l="1"/>
  <c r="E33" i="13"/>
  <c r="D33" i="13"/>
  <c r="H33" i="13" s="1"/>
  <c r="B34" i="13"/>
  <c r="C33" i="13"/>
  <c r="T32" i="13"/>
  <c r="G34" i="23"/>
  <c r="A35" i="23"/>
  <c r="L35" i="23" s="1"/>
  <c r="C35" i="23"/>
  <c r="S35" i="23" s="1"/>
  <c r="M35" i="23"/>
  <c r="F34" i="23"/>
  <c r="I34" i="23" s="1"/>
  <c r="G32" i="13"/>
  <c r="F28" i="13"/>
  <c r="I28" i="13" s="1"/>
  <c r="R32" i="1"/>
  <c r="N29" i="13"/>
  <c r="I28" i="14"/>
  <c r="M28" i="14"/>
  <c r="N27" i="14"/>
  <c r="S27" i="14" s="1"/>
  <c r="C9" i="14"/>
  <c r="G28" i="14"/>
  <c r="F28" i="14"/>
  <c r="H28" i="14"/>
  <c r="E34" i="13" l="1"/>
  <c r="D34" i="13"/>
  <c r="H34" i="13" s="1"/>
  <c r="C34" i="13"/>
  <c r="T33" i="13"/>
  <c r="B35" i="13"/>
  <c r="G35" i="23"/>
  <c r="A36" i="23"/>
  <c r="L36" i="23" s="1"/>
  <c r="M36" i="23"/>
  <c r="C36" i="23"/>
  <c r="S36" i="23" s="1"/>
  <c r="F35" i="23"/>
  <c r="I35" i="23" s="1"/>
  <c r="G33" i="13"/>
  <c r="F29" i="13"/>
  <c r="I29" i="13" s="1"/>
  <c r="R33" i="1"/>
  <c r="N30" i="13"/>
  <c r="I29" i="14"/>
  <c r="N28" i="14"/>
  <c r="S28" i="14" s="1"/>
  <c r="G29" i="14"/>
  <c r="F29" i="14"/>
  <c r="H29" i="14"/>
  <c r="E35" i="13" l="1"/>
  <c r="D35" i="13"/>
  <c r="H35" i="13" s="1"/>
  <c r="B36" i="13"/>
  <c r="C35" i="13"/>
  <c r="T34" i="13"/>
  <c r="G36" i="23"/>
  <c r="A37" i="23"/>
  <c r="L37" i="23" s="1"/>
  <c r="M37" i="23"/>
  <c r="F36" i="23"/>
  <c r="I36" i="23" s="1"/>
  <c r="C37" i="23"/>
  <c r="S37" i="23" s="1"/>
  <c r="G34" i="13"/>
  <c r="F30" i="13"/>
  <c r="I30" i="13" s="1"/>
  <c r="R34" i="1"/>
  <c r="N31" i="13"/>
  <c r="E36" i="13" l="1"/>
  <c r="D36" i="13"/>
  <c r="H36" i="13" s="1"/>
  <c r="C36" i="13"/>
  <c r="T35" i="13"/>
  <c r="B37" i="13"/>
  <c r="G37" i="23"/>
  <c r="M38" i="23"/>
  <c r="A38" i="23"/>
  <c r="L38" i="23" s="1"/>
  <c r="F37" i="23"/>
  <c r="I37" i="23" s="1"/>
  <c r="C38" i="23"/>
  <c r="S38" i="23" s="1"/>
  <c r="G35" i="13"/>
  <c r="F31" i="13"/>
  <c r="I31" i="13" s="1"/>
  <c r="R35" i="1"/>
  <c r="N32" i="13"/>
  <c r="E37" i="13" l="1"/>
  <c r="D37" i="13"/>
  <c r="H37" i="13" s="1"/>
  <c r="B38" i="13"/>
  <c r="C37" i="13"/>
  <c r="T36" i="13"/>
  <c r="G38" i="23"/>
  <c r="M39" i="23"/>
  <c r="A39" i="23"/>
  <c r="L39" i="23" s="1"/>
  <c r="C39" i="23"/>
  <c r="S39" i="23" s="1"/>
  <c r="F38" i="23"/>
  <c r="I38" i="23" s="1"/>
  <c r="F32" i="13"/>
  <c r="I32" i="13" s="1"/>
  <c r="G36" i="13"/>
  <c r="R36" i="1"/>
  <c r="N33" i="13"/>
  <c r="E38" i="13" l="1"/>
  <c r="D38" i="13"/>
  <c r="H38" i="13" s="1"/>
  <c r="C38" i="13"/>
  <c r="T37" i="13"/>
  <c r="B39" i="13"/>
  <c r="G39" i="23"/>
  <c r="M40" i="23"/>
  <c r="C40" i="23"/>
  <c r="S40" i="23" s="1"/>
  <c r="A40" i="23"/>
  <c r="L40" i="23" s="1"/>
  <c r="J40" i="23"/>
  <c r="F39" i="23"/>
  <c r="I39" i="23" s="1"/>
  <c r="G37" i="13"/>
  <c r="F33" i="13"/>
  <c r="I33" i="13" s="1"/>
  <c r="R37" i="1"/>
  <c r="N34" i="13"/>
  <c r="J55" i="9"/>
  <c r="J56" i="9"/>
  <c r="J57" i="9"/>
  <c r="J54" i="9"/>
  <c r="J18" i="9"/>
  <c r="J17" i="1"/>
  <c r="E39" i="13" l="1"/>
  <c r="D39" i="13"/>
  <c r="K18" i="23"/>
  <c r="K74" i="23"/>
  <c r="K75" i="23"/>
  <c r="K76" i="23"/>
  <c r="K77" i="23"/>
  <c r="K78" i="23"/>
  <c r="K20" i="23"/>
  <c r="K19" i="23"/>
  <c r="K21" i="23"/>
  <c r="K22" i="23"/>
  <c r="K23" i="23"/>
  <c r="K24" i="23"/>
  <c r="K25" i="23"/>
  <c r="K26" i="23"/>
  <c r="K27" i="23"/>
  <c r="K28" i="23"/>
  <c r="K29" i="23"/>
  <c r="K30" i="23"/>
  <c r="K31" i="23"/>
  <c r="K32" i="23"/>
  <c r="K33" i="23"/>
  <c r="K34" i="23"/>
  <c r="K35" i="23"/>
  <c r="K36" i="23"/>
  <c r="K37" i="23"/>
  <c r="K38" i="23"/>
  <c r="K39" i="23"/>
  <c r="K40" i="23"/>
  <c r="J18" i="23"/>
  <c r="N18" i="23" s="1"/>
  <c r="O18" i="23" s="1"/>
  <c r="T18" i="23" s="1"/>
  <c r="J74" i="23"/>
  <c r="N74" i="23" s="1"/>
  <c r="O74" i="23" s="1"/>
  <c r="J75" i="23"/>
  <c r="J76" i="23"/>
  <c r="J77" i="23"/>
  <c r="N77" i="23" s="1"/>
  <c r="O77" i="23" s="1"/>
  <c r="J78" i="23"/>
  <c r="J19" i="23"/>
  <c r="J20" i="23"/>
  <c r="J21" i="23"/>
  <c r="N21" i="23" s="1"/>
  <c r="O21" i="23" s="1"/>
  <c r="T21" i="23" s="1"/>
  <c r="J22" i="23"/>
  <c r="N22" i="23" s="1"/>
  <c r="O22" i="23" s="1"/>
  <c r="T22" i="23" s="1"/>
  <c r="J23" i="23"/>
  <c r="J24" i="23"/>
  <c r="J25" i="23"/>
  <c r="J26" i="23"/>
  <c r="J27" i="23"/>
  <c r="J28" i="23"/>
  <c r="J29" i="23"/>
  <c r="N29" i="23" s="1"/>
  <c r="O29" i="23" s="1"/>
  <c r="T29" i="23" s="1"/>
  <c r="J30" i="23"/>
  <c r="N30" i="23" s="1"/>
  <c r="O30" i="23" s="1"/>
  <c r="T30" i="23" s="1"/>
  <c r="J31" i="23"/>
  <c r="J32" i="23"/>
  <c r="J33" i="23"/>
  <c r="J34" i="23"/>
  <c r="J35" i="23"/>
  <c r="J36" i="23"/>
  <c r="J37" i="23"/>
  <c r="N37" i="23" s="1"/>
  <c r="O37" i="23" s="1"/>
  <c r="T37" i="23" s="1"/>
  <c r="J38" i="23"/>
  <c r="N38" i="23" s="1"/>
  <c r="O38" i="23" s="1"/>
  <c r="T38" i="23" s="1"/>
  <c r="J39" i="23"/>
  <c r="K17" i="1"/>
  <c r="M17" i="1" s="1"/>
  <c r="K18" i="1"/>
  <c r="M18" i="1" s="1"/>
  <c r="B40" i="13"/>
  <c r="C39" i="13"/>
  <c r="T38" i="13"/>
  <c r="G40" i="23"/>
  <c r="N40" i="23"/>
  <c r="K41" i="23"/>
  <c r="A41" i="23"/>
  <c r="L41" i="23" s="1"/>
  <c r="C41" i="23"/>
  <c r="S41" i="23" s="1"/>
  <c r="J41" i="23"/>
  <c r="F40" i="23"/>
  <c r="I40" i="23" s="1"/>
  <c r="M41" i="23"/>
  <c r="G38" i="13"/>
  <c r="F34" i="13"/>
  <c r="I34" i="13" s="1"/>
  <c r="M17" i="13"/>
  <c r="K17" i="23"/>
  <c r="M18" i="13"/>
  <c r="M19" i="13"/>
  <c r="L3" i="15"/>
  <c r="R38" i="1"/>
  <c r="N35" i="13"/>
  <c r="K36" i="13"/>
  <c r="M22" i="13"/>
  <c r="M31" i="13"/>
  <c r="M23" i="13"/>
  <c r="M32" i="13"/>
  <c r="M30" i="13"/>
  <c r="M24" i="13"/>
  <c r="M33" i="13"/>
  <c r="M25" i="13"/>
  <c r="M34" i="13"/>
  <c r="M26" i="13"/>
  <c r="M35" i="13"/>
  <c r="M27" i="13"/>
  <c r="M21" i="13"/>
  <c r="M20" i="13"/>
  <c r="M28" i="13"/>
  <c r="L19" i="13"/>
  <c r="L27" i="13"/>
  <c r="L20" i="13"/>
  <c r="L28" i="13"/>
  <c r="L21" i="13"/>
  <c r="L30" i="13"/>
  <c r="L22" i="13"/>
  <c r="L31" i="13"/>
  <c r="L25" i="13"/>
  <c r="L23" i="13"/>
  <c r="L32" i="13"/>
  <c r="L24" i="13"/>
  <c r="L26" i="13"/>
  <c r="L35" i="13"/>
  <c r="L33" i="13"/>
  <c r="L34" i="13"/>
  <c r="K24" i="13"/>
  <c r="K33" i="13"/>
  <c r="K25" i="13"/>
  <c r="K34" i="13"/>
  <c r="K26" i="13"/>
  <c r="K35" i="13"/>
  <c r="K32" i="13"/>
  <c r="K19" i="13"/>
  <c r="K27" i="13"/>
  <c r="K20" i="13"/>
  <c r="K28" i="13"/>
  <c r="K21" i="13"/>
  <c r="K30" i="13"/>
  <c r="K22" i="13"/>
  <c r="K31" i="13"/>
  <c r="K23" i="13"/>
  <c r="J21" i="13"/>
  <c r="J30" i="13"/>
  <c r="J22" i="13"/>
  <c r="J31" i="13"/>
  <c r="J23" i="13"/>
  <c r="J32" i="13"/>
  <c r="J24" i="13"/>
  <c r="J33" i="13"/>
  <c r="J25" i="13"/>
  <c r="J34" i="13"/>
  <c r="J19" i="13"/>
  <c r="J26" i="13"/>
  <c r="J35" i="13"/>
  <c r="J27" i="13"/>
  <c r="J20" i="13"/>
  <c r="J28" i="13"/>
  <c r="M29" i="13"/>
  <c r="L29" i="13"/>
  <c r="K29" i="13"/>
  <c r="J29" i="13"/>
  <c r="L17" i="13"/>
  <c r="L18" i="13"/>
  <c r="K17" i="13"/>
  <c r="K18" i="13"/>
  <c r="J17" i="13"/>
  <c r="J18" i="13"/>
  <c r="B19" i="1"/>
  <c r="G8" i="15"/>
  <c r="H39" i="13" l="1"/>
  <c r="N33" i="23"/>
  <c r="O33" i="23" s="1"/>
  <c r="T33" i="23" s="1"/>
  <c r="N24" i="23"/>
  <c r="O24" i="23" s="1"/>
  <c r="T24" i="23" s="1"/>
  <c r="N32" i="23"/>
  <c r="O32" i="23" s="1"/>
  <c r="T32" i="23" s="1"/>
  <c r="N25" i="23"/>
  <c r="O25" i="23" s="1"/>
  <c r="T25" i="23" s="1"/>
  <c r="N76" i="23"/>
  <c r="O76" i="23" s="1"/>
  <c r="N39" i="23"/>
  <c r="O39" i="23" s="1"/>
  <c r="T39" i="23" s="1"/>
  <c r="N31" i="23"/>
  <c r="O31" i="23" s="1"/>
  <c r="T31" i="23" s="1"/>
  <c r="N23" i="23"/>
  <c r="O23" i="23" s="1"/>
  <c r="T23" i="23" s="1"/>
  <c r="N75" i="23"/>
  <c r="O75" i="23" s="1"/>
  <c r="D40" i="13"/>
  <c r="E40" i="13"/>
  <c r="N78" i="23"/>
  <c r="O78" i="23" s="1"/>
  <c r="D19" i="1"/>
  <c r="E19" i="1"/>
  <c r="N20" i="23"/>
  <c r="O20" i="23" s="1"/>
  <c r="T20" i="23" s="1"/>
  <c r="N35" i="23"/>
  <c r="O35" i="23" s="1"/>
  <c r="T35" i="23" s="1"/>
  <c r="N27" i="23"/>
  <c r="O27" i="23" s="1"/>
  <c r="T27" i="23" s="1"/>
  <c r="N34" i="23"/>
  <c r="O34" i="23" s="1"/>
  <c r="T34" i="23" s="1"/>
  <c r="N26" i="23"/>
  <c r="O26" i="23" s="1"/>
  <c r="T26" i="23" s="1"/>
  <c r="N36" i="23"/>
  <c r="O36" i="23" s="1"/>
  <c r="T36" i="23" s="1"/>
  <c r="N28" i="23"/>
  <c r="O28" i="23" s="1"/>
  <c r="T28" i="23" s="1"/>
  <c r="N19" i="23"/>
  <c r="O19" i="23" s="1"/>
  <c r="T19" i="23" s="1"/>
  <c r="C19" i="1"/>
  <c r="C40" i="13"/>
  <c r="T39" i="13"/>
  <c r="B41" i="13"/>
  <c r="G41" i="23"/>
  <c r="K42" i="23"/>
  <c r="O40" i="23"/>
  <c r="T40" i="23" s="1"/>
  <c r="A42" i="23"/>
  <c r="L42" i="23" s="1"/>
  <c r="C42" i="23"/>
  <c r="S42" i="23" s="1"/>
  <c r="N41" i="23"/>
  <c r="F41" i="23"/>
  <c r="I41" i="23" s="1"/>
  <c r="M42" i="23"/>
  <c r="J42" i="23"/>
  <c r="F35" i="13"/>
  <c r="I35" i="13" s="1"/>
  <c r="G39" i="13"/>
  <c r="N17" i="23"/>
  <c r="J36" i="13"/>
  <c r="J19" i="1"/>
  <c r="K19" i="1"/>
  <c r="L19" i="1"/>
  <c r="R39" i="1"/>
  <c r="J37" i="13"/>
  <c r="L36" i="13"/>
  <c r="N36" i="13"/>
  <c r="M36" i="13"/>
  <c r="O35" i="13"/>
  <c r="P35" i="13" s="1"/>
  <c r="U35" i="13" s="1"/>
  <c r="N37" i="13"/>
  <c r="K37" i="13"/>
  <c r="L37" i="13"/>
  <c r="M37" i="13"/>
  <c r="N17" i="1"/>
  <c r="S17" i="1" s="1"/>
  <c r="F18" i="1"/>
  <c r="G18" i="1"/>
  <c r="O20" i="13"/>
  <c r="P20" i="13" s="1"/>
  <c r="U20" i="13" s="1"/>
  <c r="O31" i="13"/>
  <c r="P31" i="13" s="1"/>
  <c r="U31" i="13" s="1"/>
  <c r="O22" i="13"/>
  <c r="P22" i="13" s="1"/>
  <c r="U22" i="13" s="1"/>
  <c r="O27" i="13"/>
  <c r="P27" i="13" s="1"/>
  <c r="U27" i="13" s="1"/>
  <c r="O24" i="13"/>
  <c r="P24" i="13" s="1"/>
  <c r="U24" i="13" s="1"/>
  <c r="O23" i="13"/>
  <c r="P23" i="13" s="1"/>
  <c r="U23" i="13" s="1"/>
  <c r="O28" i="13"/>
  <c r="P28" i="13" s="1"/>
  <c r="U28" i="13" s="1"/>
  <c r="O33" i="13"/>
  <c r="P33" i="13" s="1"/>
  <c r="U33" i="13" s="1"/>
  <c r="O19" i="13"/>
  <c r="P19" i="13" s="1"/>
  <c r="U19" i="13" s="1"/>
  <c r="O26" i="13"/>
  <c r="P26" i="13" s="1"/>
  <c r="U26" i="13" s="1"/>
  <c r="O18" i="13"/>
  <c r="P18" i="13" s="1"/>
  <c r="U18" i="13" s="1"/>
  <c r="O25" i="13"/>
  <c r="P25" i="13" s="1"/>
  <c r="U25" i="13" s="1"/>
  <c r="O34" i="13"/>
  <c r="P34" i="13" s="1"/>
  <c r="U34" i="13" s="1"/>
  <c r="O32" i="13"/>
  <c r="P32" i="13" s="1"/>
  <c r="U32" i="13" s="1"/>
  <c r="O30" i="13"/>
  <c r="P30" i="13" s="1"/>
  <c r="U30" i="13" s="1"/>
  <c r="O21" i="13"/>
  <c r="P21" i="13" s="1"/>
  <c r="U21" i="13" s="1"/>
  <c r="O29" i="13"/>
  <c r="P29" i="13" s="1"/>
  <c r="U29" i="13" s="1"/>
  <c r="M29" i="14"/>
  <c r="N29" i="14" s="1"/>
  <c r="S29" i="14" s="1"/>
  <c r="M17" i="14"/>
  <c r="O17" i="13"/>
  <c r="N18" i="14"/>
  <c r="S18" i="14" s="1"/>
  <c r="B20" i="1"/>
  <c r="I18" i="1"/>
  <c r="H40" i="13" l="1"/>
  <c r="D20" i="1"/>
  <c r="E20" i="1"/>
  <c r="H19" i="1"/>
  <c r="E41" i="13"/>
  <c r="D41" i="13"/>
  <c r="H41" i="13" s="1"/>
  <c r="B42" i="13"/>
  <c r="C41" i="13"/>
  <c r="T40" i="13"/>
  <c r="G42" i="23"/>
  <c r="O17" i="23"/>
  <c r="T17" i="23" s="1"/>
  <c r="O41" i="23"/>
  <c r="T41" i="23" s="1"/>
  <c r="J43" i="23"/>
  <c r="K43" i="23"/>
  <c r="N42" i="23"/>
  <c r="C43" i="23"/>
  <c r="F42" i="23"/>
  <c r="I42" i="23" s="1"/>
  <c r="M43" i="23"/>
  <c r="A43" i="23"/>
  <c r="L43" i="23" s="1"/>
  <c r="G40" i="13"/>
  <c r="F36" i="13"/>
  <c r="I36" i="13" s="1"/>
  <c r="L20" i="1"/>
  <c r="J20" i="1"/>
  <c r="K20" i="1"/>
  <c r="N17" i="14"/>
  <c r="S17" i="14" s="1"/>
  <c r="F6" i="14" s="1"/>
  <c r="M19" i="1"/>
  <c r="R40" i="1"/>
  <c r="O36" i="13"/>
  <c r="P36" i="13" s="1"/>
  <c r="U36" i="13" s="1"/>
  <c r="N38" i="13"/>
  <c r="M38" i="13"/>
  <c r="L38" i="13"/>
  <c r="K38" i="13"/>
  <c r="J38" i="13"/>
  <c r="C20" i="1"/>
  <c r="P17" i="13"/>
  <c r="U17" i="13" s="1"/>
  <c r="O37" i="13"/>
  <c r="P37" i="13" s="1"/>
  <c r="U37" i="13" s="1"/>
  <c r="B21" i="1"/>
  <c r="N18" i="1"/>
  <c r="E42" i="13" l="1"/>
  <c r="D42" i="13"/>
  <c r="H42" i="13" s="1"/>
  <c r="D21" i="1"/>
  <c r="E21" i="1"/>
  <c r="H20" i="1"/>
  <c r="S43" i="23"/>
  <c r="C42" i="13"/>
  <c r="T41" i="13"/>
  <c r="B43" i="13"/>
  <c r="G43" i="23"/>
  <c r="M44" i="23"/>
  <c r="K44" i="23"/>
  <c r="N43" i="23"/>
  <c r="O42" i="23"/>
  <c r="T42" i="23" s="1"/>
  <c r="A44" i="23"/>
  <c r="L44" i="23" s="1"/>
  <c r="F43" i="23"/>
  <c r="I43" i="23" s="1"/>
  <c r="J44" i="23"/>
  <c r="C44" i="23"/>
  <c r="S44" i="23" s="1"/>
  <c r="G41" i="13"/>
  <c r="F37" i="13"/>
  <c r="I37" i="13" s="1"/>
  <c r="M20" i="1"/>
  <c r="L21" i="1"/>
  <c r="J21" i="1"/>
  <c r="K21" i="1"/>
  <c r="R41" i="1"/>
  <c r="N39" i="13"/>
  <c r="L39" i="13"/>
  <c r="M39" i="13"/>
  <c r="K39" i="13"/>
  <c r="J39" i="13"/>
  <c r="C21" i="1"/>
  <c r="O38" i="13"/>
  <c r="P38" i="13" s="1"/>
  <c r="U38" i="13" s="1"/>
  <c r="B22" i="1"/>
  <c r="I19" i="1"/>
  <c r="F19" i="1"/>
  <c r="H21" i="1" l="1"/>
  <c r="E22" i="1"/>
  <c r="D22" i="1"/>
  <c r="H22" i="1" s="1"/>
  <c r="E43" i="13"/>
  <c r="D43" i="13"/>
  <c r="H43" i="13" s="1"/>
  <c r="O43" i="23"/>
  <c r="T43" i="23" s="1"/>
  <c r="B44" i="13"/>
  <c r="C43" i="13"/>
  <c r="T42" i="13"/>
  <c r="C45" i="23"/>
  <c r="G44" i="23"/>
  <c r="K45" i="23"/>
  <c r="N44" i="23"/>
  <c r="M45" i="23"/>
  <c r="A45" i="23"/>
  <c r="L45" i="23" s="1"/>
  <c r="J45" i="23"/>
  <c r="F44" i="23"/>
  <c r="I44" i="23" s="1"/>
  <c r="G42" i="13"/>
  <c r="F38" i="13"/>
  <c r="I38" i="13" s="1"/>
  <c r="M21" i="1"/>
  <c r="J22" i="1"/>
  <c r="K22" i="1"/>
  <c r="L22" i="1"/>
  <c r="R42" i="1"/>
  <c r="N40" i="13"/>
  <c r="K40" i="13"/>
  <c r="M40" i="13"/>
  <c r="L40" i="13"/>
  <c r="J40" i="13"/>
  <c r="C22" i="1"/>
  <c r="L73" i="9"/>
  <c r="O39" i="13"/>
  <c r="P39" i="13" s="1"/>
  <c r="U39" i="13" s="1"/>
  <c r="B23" i="1"/>
  <c r="N19" i="1"/>
  <c r="G19" i="1"/>
  <c r="E44" i="13" l="1"/>
  <c r="D44" i="13"/>
  <c r="H44" i="13" s="1"/>
  <c r="D23" i="1"/>
  <c r="E23" i="1"/>
  <c r="S45" i="23"/>
  <c r="O44" i="23"/>
  <c r="T44" i="23" s="1"/>
  <c r="C44" i="13"/>
  <c r="T43" i="13"/>
  <c r="B45" i="13"/>
  <c r="G45" i="23"/>
  <c r="A46" i="23"/>
  <c r="L46" i="23" s="1"/>
  <c r="N45" i="23"/>
  <c r="K46" i="23"/>
  <c r="M46" i="23"/>
  <c r="C46" i="23"/>
  <c r="S46" i="23" s="1"/>
  <c r="J46" i="23"/>
  <c r="F45" i="23"/>
  <c r="I45" i="23" s="1"/>
  <c r="G43" i="13"/>
  <c r="F39" i="13"/>
  <c r="I39" i="13" s="1"/>
  <c r="M22" i="1"/>
  <c r="J23" i="1"/>
  <c r="K23" i="1"/>
  <c r="L23" i="1"/>
  <c r="R43" i="1"/>
  <c r="N41" i="13"/>
  <c r="K41" i="13"/>
  <c r="M41" i="13"/>
  <c r="L41" i="13"/>
  <c r="J41" i="13"/>
  <c r="C23" i="1"/>
  <c r="O40" i="13"/>
  <c r="P40" i="13" s="1"/>
  <c r="U40" i="13" s="1"/>
  <c r="B24" i="1"/>
  <c r="G20" i="1"/>
  <c r="I20" i="1"/>
  <c r="N20" i="1"/>
  <c r="F20" i="1"/>
  <c r="H23" i="1" l="1"/>
  <c r="E45" i="13"/>
  <c r="D45" i="13"/>
  <c r="D24" i="1"/>
  <c r="E24" i="1"/>
  <c r="B46" i="13"/>
  <c r="C45" i="13"/>
  <c r="T44" i="13"/>
  <c r="G46" i="23"/>
  <c r="N46" i="23"/>
  <c r="M47" i="23"/>
  <c r="O45" i="23"/>
  <c r="T45" i="23" s="1"/>
  <c r="F46" i="23"/>
  <c r="I46" i="23" s="1"/>
  <c r="C47" i="23"/>
  <c r="S47" i="23" s="1"/>
  <c r="K47" i="23"/>
  <c r="A47" i="23"/>
  <c r="L47" i="23" s="1"/>
  <c r="J47" i="23"/>
  <c r="G44" i="13"/>
  <c r="F40" i="13"/>
  <c r="I40" i="13" s="1"/>
  <c r="K24" i="1"/>
  <c r="L24" i="1"/>
  <c r="J24" i="1"/>
  <c r="M23" i="1"/>
  <c r="R44" i="1"/>
  <c r="N42" i="13"/>
  <c r="L42" i="13"/>
  <c r="M42" i="13"/>
  <c r="K42" i="13"/>
  <c r="J42" i="13"/>
  <c r="C24" i="1"/>
  <c r="O41" i="13"/>
  <c r="P41" i="13" s="1"/>
  <c r="U41" i="13" s="1"/>
  <c r="B25" i="1"/>
  <c r="N21" i="1"/>
  <c r="I21" i="1"/>
  <c r="F21" i="1"/>
  <c r="G21" i="1"/>
  <c r="H45" i="13" l="1"/>
  <c r="E46" i="13"/>
  <c r="D46" i="13"/>
  <c r="H24" i="1"/>
  <c r="E25" i="1"/>
  <c r="D25" i="1"/>
  <c r="C46" i="13"/>
  <c r="T45" i="13"/>
  <c r="B47" i="13"/>
  <c r="O46" i="23"/>
  <c r="T46" i="23" s="1"/>
  <c r="G47" i="23"/>
  <c r="G48" i="23" s="1"/>
  <c r="A48" i="23"/>
  <c r="L48" i="23" s="1"/>
  <c r="K48" i="23"/>
  <c r="C48" i="23"/>
  <c r="S48" i="23" s="1"/>
  <c r="M48" i="23"/>
  <c r="N47" i="23"/>
  <c r="F47" i="23"/>
  <c r="I47" i="23" s="1"/>
  <c r="J48" i="23"/>
  <c r="G45" i="13"/>
  <c r="F41" i="13"/>
  <c r="I41" i="13" s="1"/>
  <c r="M24" i="1"/>
  <c r="L25" i="1"/>
  <c r="J25" i="1"/>
  <c r="K25" i="1"/>
  <c r="R45" i="1"/>
  <c r="N43" i="13"/>
  <c r="M43" i="13"/>
  <c r="L43" i="13"/>
  <c r="J43" i="13"/>
  <c r="K43" i="13"/>
  <c r="C25" i="1"/>
  <c r="O42" i="13"/>
  <c r="P42" i="13" s="1"/>
  <c r="U42" i="13" s="1"/>
  <c r="B26" i="1"/>
  <c r="G22" i="1"/>
  <c r="F22" i="1"/>
  <c r="N22" i="1"/>
  <c r="I22" i="1"/>
  <c r="H46" i="13" l="1"/>
  <c r="H25" i="1"/>
  <c r="E26" i="1"/>
  <c r="D26" i="1"/>
  <c r="E47" i="13"/>
  <c r="D47" i="13"/>
  <c r="H47" i="13" s="1"/>
  <c r="B48" i="13"/>
  <c r="C47" i="13"/>
  <c r="T46" i="13"/>
  <c r="M49" i="23"/>
  <c r="O47" i="23"/>
  <c r="T47" i="23" s="1"/>
  <c r="J49" i="23"/>
  <c r="N48" i="23"/>
  <c r="O48" i="23" s="1"/>
  <c r="T48" i="23" s="1"/>
  <c r="K49" i="23"/>
  <c r="C49" i="23"/>
  <c r="S49" i="23" s="1"/>
  <c r="F48" i="23"/>
  <c r="A49" i="23"/>
  <c r="L49" i="23" s="1"/>
  <c r="G46" i="13"/>
  <c r="F42" i="13"/>
  <c r="I42" i="13" s="1"/>
  <c r="M25" i="1"/>
  <c r="J26" i="1"/>
  <c r="K26" i="1"/>
  <c r="L26" i="1"/>
  <c r="R46" i="1"/>
  <c r="N44" i="13"/>
  <c r="M44" i="13"/>
  <c r="K44" i="13"/>
  <c r="L44" i="13"/>
  <c r="J44" i="13"/>
  <c r="C26" i="1"/>
  <c r="O43" i="13"/>
  <c r="P43" i="13" s="1"/>
  <c r="U43" i="13" s="1"/>
  <c r="B27" i="1"/>
  <c r="N23" i="1"/>
  <c r="I23" i="1"/>
  <c r="G23" i="1"/>
  <c r="F23" i="1"/>
  <c r="E27" i="1" l="1"/>
  <c r="D27" i="1"/>
  <c r="D48" i="13"/>
  <c r="E48" i="13"/>
  <c r="H26" i="1"/>
  <c r="C48" i="13"/>
  <c r="T47" i="13"/>
  <c r="B49" i="13"/>
  <c r="I48" i="23"/>
  <c r="F49" i="23"/>
  <c r="G49" i="23"/>
  <c r="A50" i="23"/>
  <c r="L50" i="23" s="1"/>
  <c r="M50" i="23"/>
  <c r="N49" i="23"/>
  <c r="J50" i="23"/>
  <c r="C50" i="23"/>
  <c r="S50" i="23" s="1"/>
  <c r="K50" i="23"/>
  <c r="G47" i="13"/>
  <c r="F43" i="13"/>
  <c r="I43" i="13" s="1"/>
  <c r="J27" i="1"/>
  <c r="K27" i="1"/>
  <c r="L27" i="1"/>
  <c r="M26" i="1"/>
  <c r="R47" i="1"/>
  <c r="N45" i="13"/>
  <c r="M45" i="13"/>
  <c r="L45" i="13"/>
  <c r="J45" i="13"/>
  <c r="K45" i="13"/>
  <c r="C27" i="1"/>
  <c r="O44" i="13"/>
  <c r="P44" i="13" s="1"/>
  <c r="U44" i="13" s="1"/>
  <c r="B28" i="1"/>
  <c r="N24" i="1"/>
  <c r="F24" i="1"/>
  <c r="I24" i="1"/>
  <c r="G24" i="1"/>
  <c r="H48" i="13" l="1"/>
  <c r="D28" i="1"/>
  <c r="E28" i="1"/>
  <c r="H27" i="1"/>
  <c r="E49" i="13"/>
  <c r="D49" i="13"/>
  <c r="H49" i="13" s="1"/>
  <c r="B50" i="13"/>
  <c r="C49" i="13"/>
  <c r="T48" i="13"/>
  <c r="I49" i="23"/>
  <c r="F50" i="23"/>
  <c r="I50" i="23" s="1"/>
  <c r="G50" i="23"/>
  <c r="A51" i="23"/>
  <c r="L51" i="23" s="1"/>
  <c r="O49" i="23"/>
  <c r="T49" i="23" s="1"/>
  <c r="K51" i="23"/>
  <c r="M51" i="23"/>
  <c r="N50" i="23"/>
  <c r="J51" i="23"/>
  <c r="C51" i="23"/>
  <c r="S51" i="23" s="1"/>
  <c r="G48" i="13"/>
  <c r="F44" i="13"/>
  <c r="I44" i="13" s="1"/>
  <c r="K28" i="1"/>
  <c r="L28" i="1"/>
  <c r="J28" i="1"/>
  <c r="M27" i="1"/>
  <c r="R48" i="1"/>
  <c r="N46" i="13"/>
  <c r="M46" i="13"/>
  <c r="K46" i="13"/>
  <c r="L46" i="13"/>
  <c r="J46" i="13"/>
  <c r="C28" i="1"/>
  <c r="O45" i="13"/>
  <c r="P45" i="13" s="1"/>
  <c r="U45" i="13" s="1"/>
  <c r="B29" i="1"/>
  <c r="N25" i="1"/>
  <c r="F25" i="1"/>
  <c r="I25" i="1"/>
  <c r="G25" i="1"/>
  <c r="E50" i="13" l="1"/>
  <c r="D50" i="13"/>
  <c r="H50" i="13" s="1"/>
  <c r="E29" i="1"/>
  <c r="D29" i="1"/>
  <c r="H28" i="1"/>
  <c r="C50" i="13"/>
  <c r="T49" i="13"/>
  <c r="B51" i="13"/>
  <c r="G51" i="23"/>
  <c r="N51" i="23"/>
  <c r="K52" i="23"/>
  <c r="O50" i="23"/>
  <c r="T50" i="23" s="1"/>
  <c r="C52" i="23"/>
  <c r="S52" i="23" s="1"/>
  <c r="A52" i="23"/>
  <c r="L52" i="23" s="1"/>
  <c r="M52" i="23"/>
  <c r="J52" i="23"/>
  <c r="F51" i="23"/>
  <c r="I51" i="23" s="1"/>
  <c r="G49" i="13"/>
  <c r="F45" i="13"/>
  <c r="I45" i="13" s="1"/>
  <c r="M28" i="1"/>
  <c r="L29" i="1"/>
  <c r="J29" i="1"/>
  <c r="K29" i="1"/>
  <c r="R49" i="1"/>
  <c r="N47" i="13"/>
  <c r="L47" i="13"/>
  <c r="M47" i="13"/>
  <c r="J47" i="13"/>
  <c r="K47" i="13"/>
  <c r="C29" i="1"/>
  <c r="O46" i="13"/>
  <c r="P46" i="13" s="1"/>
  <c r="U46" i="13" s="1"/>
  <c r="B30" i="1"/>
  <c r="N26" i="1"/>
  <c r="I26" i="1"/>
  <c r="F26" i="1"/>
  <c r="G26" i="1"/>
  <c r="H29" i="1" l="1"/>
  <c r="D30" i="1"/>
  <c r="E30" i="1"/>
  <c r="E51" i="13"/>
  <c r="D51" i="13"/>
  <c r="H51" i="13" s="1"/>
  <c r="O51" i="23"/>
  <c r="T51" i="23" s="1"/>
  <c r="B52" i="13"/>
  <c r="C51" i="13"/>
  <c r="T50" i="13"/>
  <c r="G52" i="23"/>
  <c r="J53" i="23"/>
  <c r="N52" i="23"/>
  <c r="K53" i="23"/>
  <c r="M53" i="23"/>
  <c r="A53" i="23"/>
  <c r="L53" i="23" s="1"/>
  <c r="C53" i="23"/>
  <c r="S53" i="23" s="1"/>
  <c r="F52" i="23"/>
  <c r="I52" i="23" s="1"/>
  <c r="G50" i="13"/>
  <c r="F46" i="13"/>
  <c r="I46" i="13" s="1"/>
  <c r="M29" i="1"/>
  <c r="J30" i="1"/>
  <c r="K30" i="1"/>
  <c r="L30" i="1"/>
  <c r="R50" i="1"/>
  <c r="N48" i="13"/>
  <c r="L48" i="13"/>
  <c r="M48" i="13"/>
  <c r="J48" i="13"/>
  <c r="K48" i="13"/>
  <c r="C30" i="1"/>
  <c r="O47" i="13"/>
  <c r="P47" i="13" s="1"/>
  <c r="U47" i="13" s="1"/>
  <c r="B31" i="1"/>
  <c r="N27" i="1"/>
  <c r="I27" i="1"/>
  <c r="G27" i="1"/>
  <c r="F27" i="1"/>
  <c r="H30" i="1" l="1"/>
  <c r="E52" i="13"/>
  <c r="D52" i="13"/>
  <c r="H52" i="13" s="1"/>
  <c r="D31" i="1"/>
  <c r="E31" i="1"/>
  <c r="C52" i="13"/>
  <c r="T51" i="13"/>
  <c r="B53" i="13"/>
  <c r="G53" i="23"/>
  <c r="J54" i="23"/>
  <c r="A54" i="23"/>
  <c r="L54" i="23" s="1"/>
  <c r="O52" i="23"/>
  <c r="T52" i="23" s="1"/>
  <c r="N53" i="23"/>
  <c r="F53" i="23"/>
  <c r="I53" i="23" s="1"/>
  <c r="C54" i="23"/>
  <c r="S54" i="23" s="1"/>
  <c r="K54" i="23"/>
  <c r="M54" i="23"/>
  <c r="F47" i="13"/>
  <c r="I47" i="13" s="1"/>
  <c r="G51" i="13"/>
  <c r="L31" i="1"/>
  <c r="J31" i="1"/>
  <c r="K31" i="1"/>
  <c r="M30" i="1"/>
  <c r="R51" i="1"/>
  <c r="N49" i="13"/>
  <c r="K49" i="13"/>
  <c r="M49" i="13"/>
  <c r="L49" i="13"/>
  <c r="J49" i="13"/>
  <c r="C31" i="1"/>
  <c r="O48" i="13"/>
  <c r="P48" i="13" s="1"/>
  <c r="U48" i="13" s="1"/>
  <c r="B32" i="1"/>
  <c r="N28" i="1"/>
  <c r="F28" i="1"/>
  <c r="G28" i="1"/>
  <c r="I28" i="1"/>
  <c r="E53" i="13" l="1"/>
  <c r="D53" i="13"/>
  <c r="H53" i="13" s="1"/>
  <c r="H31" i="1"/>
  <c r="D32" i="1"/>
  <c r="E32" i="1"/>
  <c r="B54" i="13"/>
  <c r="C53" i="13"/>
  <c r="T52" i="13"/>
  <c r="G54" i="23"/>
  <c r="K55" i="23"/>
  <c r="O53" i="23"/>
  <c r="T53" i="23" s="1"/>
  <c r="N54" i="23"/>
  <c r="M55" i="23"/>
  <c r="A55" i="23"/>
  <c r="L55" i="23" s="1"/>
  <c r="J55" i="23"/>
  <c r="F54" i="23"/>
  <c r="I54" i="23" s="1"/>
  <c r="C55" i="23"/>
  <c r="S55" i="23" s="1"/>
  <c r="G52" i="13"/>
  <c r="F48" i="13"/>
  <c r="I48" i="13" s="1"/>
  <c r="K32" i="1"/>
  <c r="L32" i="1"/>
  <c r="J32" i="1"/>
  <c r="M31" i="1"/>
  <c r="R52" i="1"/>
  <c r="N50" i="13"/>
  <c r="M50" i="13"/>
  <c r="K50" i="13"/>
  <c r="J50" i="13"/>
  <c r="L50" i="13"/>
  <c r="C32" i="1"/>
  <c r="O49" i="13"/>
  <c r="P49" i="13" s="1"/>
  <c r="U49" i="13" s="1"/>
  <c r="B33" i="1"/>
  <c r="N29" i="1"/>
  <c r="G29" i="1"/>
  <c r="I29" i="1"/>
  <c r="F29" i="1"/>
  <c r="E54" i="13" l="1"/>
  <c r="D54" i="13"/>
  <c r="H54" i="13" s="1"/>
  <c r="H32" i="1"/>
  <c r="E33" i="1"/>
  <c r="D33" i="1"/>
  <c r="H33" i="1" s="1"/>
  <c r="C54" i="13"/>
  <c r="T53" i="13"/>
  <c r="B55" i="13"/>
  <c r="G55" i="23"/>
  <c r="M56" i="23"/>
  <c r="O54" i="23"/>
  <c r="T54" i="23" s="1"/>
  <c r="N55" i="23"/>
  <c r="K56" i="23"/>
  <c r="C56" i="23"/>
  <c r="S56" i="23" s="1"/>
  <c r="A56" i="23"/>
  <c r="L56" i="23" s="1"/>
  <c r="F55" i="23"/>
  <c r="I55" i="23" s="1"/>
  <c r="J56" i="23"/>
  <c r="G53" i="13"/>
  <c r="F49" i="13"/>
  <c r="I49" i="13" s="1"/>
  <c r="L33" i="1"/>
  <c r="J33" i="1"/>
  <c r="K33" i="1"/>
  <c r="M32" i="1"/>
  <c r="R53" i="1"/>
  <c r="N51" i="13"/>
  <c r="L51" i="13"/>
  <c r="K51" i="13"/>
  <c r="M51" i="13"/>
  <c r="J51" i="13"/>
  <c r="C33" i="1"/>
  <c r="O50" i="13"/>
  <c r="P50" i="13" s="1"/>
  <c r="U50" i="13" s="1"/>
  <c r="B34" i="1"/>
  <c r="G30" i="1"/>
  <c r="N30" i="1"/>
  <c r="S30" i="1" s="1"/>
  <c r="F30" i="1"/>
  <c r="I30" i="1"/>
  <c r="D34" i="1" l="1"/>
  <c r="E34" i="1"/>
  <c r="E55" i="13"/>
  <c r="D55" i="13"/>
  <c r="H55" i="13" s="1"/>
  <c r="B56" i="13"/>
  <c r="C55" i="13"/>
  <c r="T54" i="13"/>
  <c r="G56" i="23"/>
  <c r="N56" i="23"/>
  <c r="M57" i="23"/>
  <c r="O55" i="23"/>
  <c r="T55" i="23" s="1"/>
  <c r="A57" i="23"/>
  <c r="L57" i="23" s="1"/>
  <c r="J57" i="23"/>
  <c r="K57" i="23"/>
  <c r="F56" i="23"/>
  <c r="I56" i="23" s="1"/>
  <c r="C57" i="23"/>
  <c r="S57" i="23" s="1"/>
  <c r="G54" i="13"/>
  <c r="F50" i="13"/>
  <c r="I50" i="13" s="1"/>
  <c r="J34" i="1"/>
  <c r="K34" i="1"/>
  <c r="L34" i="1"/>
  <c r="M33" i="1"/>
  <c r="R54" i="1"/>
  <c r="N52" i="13"/>
  <c r="M52" i="13"/>
  <c r="K52" i="13"/>
  <c r="L52" i="13"/>
  <c r="J52" i="13"/>
  <c r="C34" i="1"/>
  <c r="O51" i="13"/>
  <c r="P51" i="13" s="1"/>
  <c r="U51" i="13" s="1"/>
  <c r="B35" i="1"/>
  <c r="G31" i="1"/>
  <c r="N31" i="1"/>
  <c r="S31" i="1" s="1"/>
  <c r="F31" i="1"/>
  <c r="I31" i="1"/>
  <c r="E35" i="1" l="1"/>
  <c r="D35" i="1"/>
  <c r="D56" i="13"/>
  <c r="E56" i="13"/>
  <c r="H34" i="1"/>
  <c r="O56" i="23"/>
  <c r="T56" i="23" s="1"/>
  <c r="C56" i="13"/>
  <c r="T55" i="13"/>
  <c r="B57" i="13"/>
  <c r="G57" i="23"/>
  <c r="M58" i="23"/>
  <c r="N57" i="23"/>
  <c r="C58" i="23"/>
  <c r="S58" i="23" s="1"/>
  <c r="F57" i="23"/>
  <c r="I57" i="23" s="1"/>
  <c r="A58" i="23"/>
  <c r="L58" i="23" s="1"/>
  <c r="J58" i="23"/>
  <c r="K58" i="23"/>
  <c r="F51" i="13"/>
  <c r="I51" i="13" s="1"/>
  <c r="G55" i="13"/>
  <c r="J35" i="1"/>
  <c r="K35" i="1"/>
  <c r="L35" i="1"/>
  <c r="M34" i="1"/>
  <c r="R55" i="1"/>
  <c r="N53" i="13"/>
  <c r="L53" i="13"/>
  <c r="K53" i="13"/>
  <c r="M53" i="13"/>
  <c r="J53" i="13"/>
  <c r="C35" i="1"/>
  <c r="O52" i="13"/>
  <c r="P52" i="13" s="1"/>
  <c r="U52" i="13" s="1"/>
  <c r="B36" i="1"/>
  <c r="G32" i="1"/>
  <c r="N32" i="1"/>
  <c r="S32" i="1" s="1"/>
  <c r="I32" i="1"/>
  <c r="F32" i="1"/>
  <c r="H56" i="13" l="1"/>
  <c r="H35" i="1"/>
  <c r="E57" i="13"/>
  <c r="D57" i="13"/>
  <c r="H57" i="13" s="1"/>
  <c r="D36" i="1"/>
  <c r="E36" i="1"/>
  <c r="B58" i="13"/>
  <c r="C57" i="13"/>
  <c r="T56" i="13"/>
  <c r="G58" i="23"/>
  <c r="K59" i="23"/>
  <c r="O57" i="23"/>
  <c r="T57" i="23" s="1"/>
  <c r="M59" i="23"/>
  <c r="A59" i="23"/>
  <c r="L59" i="23" s="1"/>
  <c r="J59" i="23"/>
  <c r="N58" i="23"/>
  <c r="F58" i="23"/>
  <c r="I58" i="23" s="1"/>
  <c r="C59" i="23"/>
  <c r="G56" i="13"/>
  <c r="F52" i="13"/>
  <c r="I52" i="13" s="1"/>
  <c r="M35" i="1"/>
  <c r="L36" i="1"/>
  <c r="K36" i="1"/>
  <c r="J36" i="1"/>
  <c r="R56" i="1"/>
  <c r="N54" i="13"/>
  <c r="M54" i="13"/>
  <c r="L54" i="13"/>
  <c r="J54" i="13"/>
  <c r="K54" i="13"/>
  <c r="C36" i="1"/>
  <c r="O53" i="13"/>
  <c r="P53" i="13" s="1"/>
  <c r="U53" i="13" s="1"/>
  <c r="B37" i="1"/>
  <c r="G33" i="1"/>
  <c r="I33" i="1"/>
  <c r="F33" i="1"/>
  <c r="N33" i="1"/>
  <c r="S33" i="1" s="1"/>
  <c r="E58" i="13" l="1"/>
  <c r="D58" i="13"/>
  <c r="H58" i="13" s="1"/>
  <c r="H36" i="1"/>
  <c r="D37" i="1"/>
  <c r="E37" i="1"/>
  <c r="C58" i="13"/>
  <c r="T57" i="13"/>
  <c r="B59" i="13"/>
  <c r="S59" i="23"/>
  <c r="G59" i="23"/>
  <c r="N59" i="23"/>
  <c r="K60" i="23"/>
  <c r="O58" i="23"/>
  <c r="T58" i="23" s="1"/>
  <c r="M60" i="23"/>
  <c r="A60" i="23"/>
  <c r="L60" i="23" s="1"/>
  <c r="J60" i="23"/>
  <c r="C60" i="23"/>
  <c r="F59" i="23"/>
  <c r="I59" i="23" s="1"/>
  <c r="G57" i="13"/>
  <c r="F53" i="13"/>
  <c r="I53" i="13" s="1"/>
  <c r="M36" i="1"/>
  <c r="L37" i="1"/>
  <c r="J37" i="1"/>
  <c r="K37" i="1"/>
  <c r="R57" i="1"/>
  <c r="N55" i="13"/>
  <c r="M55" i="13"/>
  <c r="K55" i="13"/>
  <c r="J55" i="13"/>
  <c r="L55" i="13"/>
  <c r="C37" i="1"/>
  <c r="O54" i="13"/>
  <c r="P54" i="13" s="1"/>
  <c r="U54" i="13" s="1"/>
  <c r="B38" i="1"/>
  <c r="G34" i="1"/>
  <c r="N34" i="1"/>
  <c r="S34" i="1" s="1"/>
  <c r="I34" i="1"/>
  <c r="F34" i="1"/>
  <c r="H37" i="1" l="1"/>
  <c r="E38" i="1"/>
  <c r="D38" i="1"/>
  <c r="E59" i="13"/>
  <c r="D59" i="13"/>
  <c r="H59" i="13" s="1"/>
  <c r="O59" i="23"/>
  <c r="T59" i="23" s="1"/>
  <c r="C59" i="13"/>
  <c r="T58" i="13"/>
  <c r="B60" i="13"/>
  <c r="S60" i="23"/>
  <c r="G60" i="23"/>
  <c r="N60" i="23"/>
  <c r="F60" i="23"/>
  <c r="I60" i="23" s="1"/>
  <c r="C61" i="23"/>
  <c r="S61" i="23" s="1"/>
  <c r="K61" i="23"/>
  <c r="M61" i="23"/>
  <c r="A61" i="23"/>
  <c r="L61" i="23" s="1"/>
  <c r="J61" i="23"/>
  <c r="G58" i="13"/>
  <c r="F54" i="13"/>
  <c r="I54" i="13" s="1"/>
  <c r="M37" i="1"/>
  <c r="J38" i="1"/>
  <c r="K38" i="1"/>
  <c r="L38" i="1"/>
  <c r="R58" i="1"/>
  <c r="N56" i="13"/>
  <c r="M56" i="13"/>
  <c r="L56" i="13"/>
  <c r="K56" i="13"/>
  <c r="J56" i="13"/>
  <c r="C38" i="1"/>
  <c r="O55" i="13"/>
  <c r="P55" i="13" s="1"/>
  <c r="U55" i="13" s="1"/>
  <c r="B39" i="1"/>
  <c r="G35" i="1"/>
  <c r="I35" i="1"/>
  <c r="F35" i="1"/>
  <c r="N35" i="1"/>
  <c r="S35" i="1" s="1"/>
  <c r="H38" i="1" l="1"/>
  <c r="D39" i="1"/>
  <c r="E39" i="1"/>
  <c r="E60" i="13"/>
  <c r="D60" i="13"/>
  <c r="H60" i="13" s="1"/>
  <c r="B61" i="13"/>
  <c r="C60" i="13"/>
  <c r="T59" i="13"/>
  <c r="G61" i="23"/>
  <c r="A62" i="23"/>
  <c r="L62" i="23" s="1"/>
  <c r="F61" i="23"/>
  <c r="I61" i="23" s="1"/>
  <c r="O60" i="23"/>
  <c r="T60" i="23" s="1"/>
  <c r="J62" i="23"/>
  <c r="K62" i="23"/>
  <c r="M62" i="23"/>
  <c r="N61" i="23"/>
  <c r="C62" i="23"/>
  <c r="G59" i="13"/>
  <c r="F55" i="13"/>
  <c r="I55" i="13" s="1"/>
  <c r="J39" i="1"/>
  <c r="L39" i="1"/>
  <c r="K39" i="1"/>
  <c r="M38" i="1"/>
  <c r="R59" i="1"/>
  <c r="N57" i="13"/>
  <c r="L57" i="13"/>
  <c r="M57" i="13"/>
  <c r="K57" i="13"/>
  <c r="J57" i="13"/>
  <c r="C39" i="1"/>
  <c r="O56" i="13"/>
  <c r="P56" i="13" s="1"/>
  <c r="U56" i="13" s="1"/>
  <c r="B40" i="1"/>
  <c r="G36" i="1"/>
  <c r="N36" i="1"/>
  <c r="S36" i="1" s="1"/>
  <c r="F36" i="1"/>
  <c r="I36" i="1"/>
  <c r="H39" i="1" l="1"/>
  <c r="D40" i="1"/>
  <c r="E40" i="1"/>
  <c r="E61" i="13"/>
  <c r="D61" i="13"/>
  <c r="H61" i="13" s="1"/>
  <c r="F62" i="23"/>
  <c r="I62" i="23" s="1"/>
  <c r="C61" i="13"/>
  <c r="T60" i="13"/>
  <c r="B62" i="13"/>
  <c r="S62" i="23"/>
  <c r="G62" i="23"/>
  <c r="A63" i="23"/>
  <c r="L63" i="23" s="1"/>
  <c r="M63" i="23"/>
  <c r="J63" i="23"/>
  <c r="O61" i="23"/>
  <c r="T61" i="23" s="1"/>
  <c r="N62" i="23"/>
  <c r="K63" i="23"/>
  <c r="C63" i="23"/>
  <c r="S63" i="23" s="1"/>
  <c r="G60" i="13"/>
  <c r="F56" i="13"/>
  <c r="I56" i="13" s="1"/>
  <c r="M39" i="1"/>
  <c r="K40" i="1"/>
  <c r="L40" i="1"/>
  <c r="J40" i="1"/>
  <c r="R60" i="1"/>
  <c r="N58" i="13"/>
  <c r="K58" i="13"/>
  <c r="M58" i="13"/>
  <c r="J58" i="13"/>
  <c r="L58" i="13"/>
  <c r="C40" i="1"/>
  <c r="O57" i="13"/>
  <c r="P57" i="13" s="1"/>
  <c r="U57" i="13" s="1"/>
  <c r="B41" i="1"/>
  <c r="G37" i="1"/>
  <c r="I37" i="1"/>
  <c r="F37" i="1"/>
  <c r="N37" i="1"/>
  <c r="S37" i="1" s="1"/>
  <c r="H40" i="1" l="1"/>
  <c r="E62" i="13"/>
  <c r="D62" i="13"/>
  <c r="H62" i="13" s="1"/>
  <c r="D41" i="1"/>
  <c r="E41" i="1"/>
  <c r="B63" i="13"/>
  <c r="C62" i="13"/>
  <c r="T61" i="13"/>
  <c r="G63" i="23"/>
  <c r="O62" i="23"/>
  <c r="T62" i="23" s="1"/>
  <c r="N63" i="23"/>
  <c r="C64" i="23"/>
  <c r="S64" i="23" s="1"/>
  <c r="A64" i="23"/>
  <c r="L64" i="23" s="1"/>
  <c r="J64" i="23"/>
  <c r="K64" i="23"/>
  <c r="F63" i="23"/>
  <c r="I63" i="23" s="1"/>
  <c r="M64" i="23"/>
  <c r="G61" i="13"/>
  <c r="F57" i="13"/>
  <c r="I57" i="13" s="1"/>
  <c r="M40" i="1"/>
  <c r="J41" i="1"/>
  <c r="L41" i="1"/>
  <c r="K41" i="1"/>
  <c r="R61" i="1"/>
  <c r="N59" i="13"/>
  <c r="L59" i="13"/>
  <c r="M59" i="13"/>
  <c r="K59" i="13"/>
  <c r="J59" i="13"/>
  <c r="C41" i="1"/>
  <c r="O58" i="13"/>
  <c r="P58" i="13" s="1"/>
  <c r="U58" i="13" s="1"/>
  <c r="B42" i="1"/>
  <c r="G38" i="1"/>
  <c r="N38" i="1"/>
  <c r="S38" i="1" s="1"/>
  <c r="I38" i="1"/>
  <c r="F38" i="1"/>
  <c r="D42" i="1" l="1"/>
  <c r="E42" i="1"/>
  <c r="E63" i="13"/>
  <c r="D63" i="13"/>
  <c r="H41" i="1"/>
  <c r="C63" i="13"/>
  <c r="T62" i="13"/>
  <c r="B64" i="13"/>
  <c r="G64" i="23"/>
  <c r="M65" i="23"/>
  <c r="O63" i="23"/>
  <c r="T63" i="23" s="1"/>
  <c r="N64" i="23"/>
  <c r="J65" i="23"/>
  <c r="K65" i="23"/>
  <c r="A65" i="23"/>
  <c r="L65" i="23" s="1"/>
  <c r="C65" i="23"/>
  <c r="S65" i="23" s="1"/>
  <c r="F64" i="23"/>
  <c r="I64" i="23" s="1"/>
  <c r="G62" i="13"/>
  <c r="F58" i="13"/>
  <c r="I58" i="13" s="1"/>
  <c r="L42" i="1"/>
  <c r="J42" i="1"/>
  <c r="K42" i="1"/>
  <c r="M41" i="1"/>
  <c r="R62" i="1"/>
  <c r="N60" i="13"/>
  <c r="K60" i="13"/>
  <c r="M60" i="13"/>
  <c r="L60" i="13"/>
  <c r="J60" i="13"/>
  <c r="C42" i="1"/>
  <c r="O59" i="13"/>
  <c r="P59" i="13" s="1"/>
  <c r="U59" i="13" s="1"/>
  <c r="B43" i="1"/>
  <c r="G39" i="1"/>
  <c r="N39" i="1"/>
  <c r="S39" i="1" s="1"/>
  <c r="F39" i="1"/>
  <c r="I39" i="1"/>
  <c r="H63" i="13" l="1"/>
  <c r="E43" i="1"/>
  <c r="D43" i="1"/>
  <c r="D64" i="13"/>
  <c r="E64" i="13"/>
  <c r="H64" i="13" s="1"/>
  <c r="H42" i="1"/>
  <c r="B65" i="13"/>
  <c r="C64" i="13"/>
  <c r="T63" i="13"/>
  <c r="G65" i="23"/>
  <c r="J66" i="23"/>
  <c r="M66" i="23"/>
  <c r="O64" i="23"/>
  <c r="T64" i="23" s="1"/>
  <c r="N65" i="23"/>
  <c r="C66" i="23"/>
  <c r="S66" i="23" s="1"/>
  <c r="F65" i="23"/>
  <c r="I65" i="23" s="1"/>
  <c r="A66" i="23"/>
  <c r="L66" i="23" s="1"/>
  <c r="K66" i="23"/>
  <c r="M42" i="1"/>
  <c r="G63" i="13"/>
  <c r="F59" i="13"/>
  <c r="I59" i="13" s="1"/>
  <c r="J43" i="1"/>
  <c r="K43" i="1"/>
  <c r="L43" i="1"/>
  <c r="R63" i="1"/>
  <c r="N61" i="13"/>
  <c r="L61" i="13"/>
  <c r="M61" i="13"/>
  <c r="K61" i="13"/>
  <c r="J61" i="13"/>
  <c r="C43" i="1"/>
  <c r="O60" i="13"/>
  <c r="P60" i="13" s="1"/>
  <c r="U60" i="13" s="1"/>
  <c r="B44" i="1"/>
  <c r="G40" i="1"/>
  <c r="N40" i="1"/>
  <c r="S40" i="1" s="1"/>
  <c r="F40" i="1"/>
  <c r="I40" i="1"/>
  <c r="E65" i="13" l="1"/>
  <c r="D65" i="13"/>
  <c r="H43" i="1"/>
  <c r="E44" i="1"/>
  <c r="D44" i="1"/>
  <c r="C65" i="13"/>
  <c r="T64" i="13"/>
  <c r="B66" i="13"/>
  <c r="G66" i="23"/>
  <c r="N66" i="23"/>
  <c r="K67" i="23"/>
  <c r="O65" i="23"/>
  <c r="T65" i="23" s="1"/>
  <c r="M67" i="23"/>
  <c r="A67" i="23"/>
  <c r="L67" i="23" s="1"/>
  <c r="J67" i="23"/>
  <c r="C67" i="23"/>
  <c r="S67" i="23" s="1"/>
  <c r="F66" i="23"/>
  <c r="I66" i="23" s="1"/>
  <c r="M43" i="1"/>
  <c r="F60" i="13"/>
  <c r="I60" i="13" s="1"/>
  <c r="G64" i="13"/>
  <c r="J44" i="1"/>
  <c r="K44" i="1"/>
  <c r="L44" i="1"/>
  <c r="R64" i="1"/>
  <c r="N62" i="13"/>
  <c r="K62" i="13"/>
  <c r="M62" i="13"/>
  <c r="L62" i="13"/>
  <c r="J62" i="13"/>
  <c r="C44" i="1"/>
  <c r="O61" i="13"/>
  <c r="P61" i="13" s="1"/>
  <c r="U61" i="13" s="1"/>
  <c r="B45" i="1"/>
  <c r="G41" i="1"/>
  <c r="F41" i="1"/>
  <c r="F42" i="1" s="1"/>
  <c r="I41" i="1"/>
  <c r="N41" i="1"/>
  <c r="S41" i="1" s="1"/>
  <c r="H65" i="13" l="1"/>
  <c r="H44" i="1"/>
  <c r="D45" i="1"/>
  <c r="E45" i="1"/>
  <c r="E66" i="13"/>
  <c r="D66" i="13"/>
  <c r="H66" i="13" s="1"/>
  <c r="B67" i="13"/>
  <c r="C66" i="13"/>
  <c r="T65" i="13"/>
  <c r="O66" i="23"/>
  <c r="T66" i="23" s="1"/>
  <c r="G67" i="23"/>
  <c r="N67" i="23"/>
  <c r="J68" i="23"/>
  <c r="K68" i="23"/>
  <c r="M68" i="23"/>
  <c r="F67" i="23"/>
  <c r="I67" i="23" s="1"/>
  <c r="C68" i="23"/>
  <c r="S68" i="23" s="1"/>
  <c r="A68" i="23"/>
  <c r="L68" i="23" s="1"/>
  <c r="M44" i="1"/>
  <c r="G65" i="13"/>
  <c r="F61" i="13"/>
  <c r="I61" i="13" s="1"/>
  <c r="J45" i="1"/>
  <c r="K45" i="1"/>
  <c r="L45" i="1"/>
  <c r="R65" i="1"/>
  <c r="N63" i="13"/>
  <c r="M63" i="13"/>
  <c r="K63" i="13"/>
  <c r="J63" i="13"/>
  <c r="L63" i="13"/>
  <c r="C45" i="1"/>
  <c r="O62" i="13"/>
  <c r="P62" i="13" s="1"/>
  <c r="U62" i="13" s="1"/>
  <c r="B46" i="1"/>
  <c r="G42" i="1"/>
  <c r="N42" i="1"/>
  <c r="I42" i="1"/>
  <c r="F43" i="1"/>
  <c r="E67" i="13" l="1"/>
  <c r="D67" i="13"/>
  <c r="H67" i="13" s="1"/>
  <c r="H45" i="1"/>
  <c r="D46" i="1"/>
  <c r="E46" i="1"/>
  <c r="S43" i="1"/>
  <c r="S51" i="1"/>
  <c r="S59" i="1"/>
  <c r="S44" i="1"/>
  <c r="S52" i="1"/>
  <c r="S60" i="1"/>
  <c r="S58" i="1"/>
  <c r="S45" i="1"/>
  <c r="S53" i="1"/>
  <c r="S61" i="1"/>
  <c r="S50" i="1"/>
  <c r="S46" i="1"/>
  <c r="S54" i="1"/>
  <c r="S62" i="1"/>
  <c r="S42" i="1"/>
  <c r="S47" i="1"/>
  <c r="S55" i="1"/>
  <c r="S63" i="1"/>
  <c r="S48" i="1"/>
  <c r="S56" i="1"/>
  <c r="S64" i="1"/>
  <c r="S49" i="1"/>
  <c r="S57" i="1"/>
  <c r="S65" i="1"/>
  <c r="O67" i="23"/>
  <c r="T67" i="23" s="1"/>
  <c r="C67" i="13"/>
  <c r="T66" i="13"/>
  <c r="B68" i="13"/>
  <c r="G68" i="23"/>
  <c r="N68" i="23"/>
  <c r="K69" i="23"/>
  <c r="F68" i="23"/>
  <c r="I68" i="23" s="1"/>
  <c r="C69" i="23"/>
  <c r="S69" i="23" s="1"/>
  <c r="M69" i="23"/>
  <c r="A69" i="23"/>
  <c r="L69" i="23" s="1"/>
  <c r="J69" i="23"/>
  <c r="M45" i="1"/>
  <c r="G66" i="13"/>
  <c r="F62" i="13"/>
  <c r="I62" i="13" s="1"/>
  <c r="J46" i="1"/>
  <c r="K46" i="1"/>
  <c r="L46" i="1"/>
  <c r="R66" i="1"/>
  <c r="S66" i="1" s="1"/>
  <c r="N64" i="13"/>
  <c r="K64" i="13"/>
  <c r="M64" i="13"/>
  <c r="L64" i="13"/>
  <c r="J64" i="13"/>
  <c r="C46" i="1"/>
  <c r="O63" i="13"/>
  <c r="P63" i="13" s="1"/>
  <c r="U63" i="13" s="1"/>
  <c r="B47" i="1"/>
  <c r="G43" i="1"/>
  <c r="I43" i="1"/>
  <c r="N43" i="1"/>
  <c r="D47" i="1" l="1"/>
  <c r="E47" i="1"/>
  <c r="H46" i="1"/>
  <c r="E68" i="13"/>
  <c r="D68" i="13"/>
  <c r="H68" i="13" s="1"/>
  <c r="B69" i="13"/>
  <c r="C68" i="13"/>
  <c r="T67" i="13"/>
  <c r="G69" i="23"/>
  <c r="O68" i="23"/>
  <c r="T68" i="23" s="1"/>
  <c r="M70" i="23"/>
  <c r="J70" i="23"/>
  <c r="K70" i="23"/>
  <c r="N69" i="23"/>
  <c r="F69" i="23"/>
  <c r="I69" i="23" s="1"/>
  <c r="C70" i="23"/>
  <c r="S70" i="23" s="1"/>
  <c r="A70" i="23"/>
  <c r="L70" i="23" s="1"/>
  <c r="M46" i="1"/>
  <c r="F63" i="13"/>
  <c r="I63" i="13" s="1"/>
  <c r="G67" i="13"/>
  <c r="J47" i="1"/>
  <c r="K47" i="1"/>
  <c r="L47" i="1"/>
  <c r="R67" i="1"/>
  <c r="S67" i="1" s="1"/>
  <c r="N65" i="13"/>
  <c r="K65" i="13"/>
  <c r="J65" i="13"/>
  <c r="M65" i="13"/>
  <c r="L65" i="13"/>
  <c r="C47" i="1"/>
  <c r="O64" i="13"/>
  <c r="P64" i="13" s="1"/>
  <c r="U64" i="13" s="1"/>
  <c r="B48" i="1"/>
  <c r="G44" i="1"/>
  <c r="N44" i="1"/>
  <c r="I44" i="1"/>
  <c r="F44" i="1"/>
  <c r="D48" i="1" l="1"/>
  <c r="E48" i="1"/>
  <c r="E69" i="13"/>
  <c r="D69" i="13"/>
  <c r="H69" i="13" s="1"/>
  <c r="H47" i="1"/>
  <c r="C69" i="13"/>
  <c r="T68" i="13"/>
  <c r="B70" i="13"/>
  <c r="G70" i="23"/>
  <c r="K71" i="23"/>
  <c r="M71" i="23"/>
  <c r="O69" i="23"/>
  <c r="T69" i="23" s="1"/>
  <c r="N70" i="23"/>
  <c r="J71" i="23"/>
  <c r="F70" i="23"/>
  <c r="I70" i="23" s="1"/>
  <c r="A71" i="23"/>
  <c r="L71" i="23" s="1"/>
  <c r="C71" i="23"/>
  <c r="S71" i="23" s="1"/>
  <c r="M47" i="1"/>
  <c r="F64" i="13"/>
  <c r="I64" i="13" s="1"/>
  <c r="G68" i="13"/>
  <c r="L48" i="1"/>
  <c r="J48" i="1"/>
  <c r="K48" i="1"/>
  <c r="R68" i="1"/>
  <c r="S68" i="1" s="1"/>
  <c r="N66" i="13"/>
  <c r="K66" i="13"/>
  <c r="L66" i="13"/>
  <c r="M66" i="13"/>
  <c r="J66" i="13"/>
  <c r="C48" i="1"/>
  <c r="O65" i="13"/>
  <c r="P65" i="13" s="1"/>
  <c r="U65" i="13" s="1"/>
  <c r="B49" i="1"/>
  <c r="G45" i="1"/>
  <c r="I45" i="1"/>
  <c r="F45" i="1"/>
  <c r="N45" i="1"/>
  <c r="H48" i="1" l="1"/>
  <c r="D49" i="1"/>
  <c r="E49" i="1"/>
  <c r="E70" i="13"/>
  <c r="D70" i="13"/>
  <c r="B71" i="13"/>
  <c r="C70" i="13"/>
  <c r="T69" i="13"/>
  <c r="G71" i="23"/>
  <c r="O70" i="23"/>
  <c r="T70" i="23" s="1"/>
  <c r="N71" i="23"/>
  <c r="A72" i="23"/>
  <c r="L72" i="23" s="1"/>
  <c r="K72" i="23"/>
  <c r="M72" i="23"/>
  <c r="C72" i="23"/>
  <c r="S72" i="23" s="1"/>
  <c r="F71" i="23"/>
  <c r="I71" i="23" s="1"/>
  <c r="J72" i="23"/>
  <c r="M48" i="1"/>
  <c r="F65" i="13"/>
  <c r="I65" i="13" s="1"/>
  <c r="G69" i="13"/>
  <c r="J49" i="1"/>
  <c r="K49" i="1"/>
  <c r="L49" i="1"/>
  <c r="R69" i="1"/>
  <c r="S69" i="1" s="1"/>
  <c r="N67" i="13"/>
  <c r="K67" i="13"/>
  <c r="M67" i="13"/>
  <c r="J67" i="13"/>
  <c r="L67" i="13"/>
  <c r="C49" i="1"/>
  <c r="O66" i="13"/>
  <c r="P66" i="13" s="1"/>
  <c r="U66" i="13" s="1"/>
  <c r="B50" i="1"/>
  <c r="G46" i="1"/>
  <c r="I46" i="1"/>
  <c r="N46" i="1"/>
  <c r="F46" i="1"/>
  <c r="H70" i="13" l="1"/>
  <c r="E71" i="13"/>
  <c r="D71" i="13"/>
  <c r="H71" i="13" s="1"/>
  <c r="D50" i="1"/>
  <c r="E50" i="1"/>
  <c r="H49" i="1"/>
  <c r="O71" i="23"/>
  <c r="T71" i="23" s="1"/>
  <c r="C71" i="13"/>
  <c r="T70" i="13"/>
  <c r="B72" i="13"/>
  <c r="G72" i="23"/>
  <c r="N72" i="23"/>
  <c r="M73" i="23"/>
  <c r="A73" i="23"/>
  <c r="L73" i="23" s="1"/>
  <c r="K73" i="23"/>
  <c r="C73" i="23"/>
  <c r="F72" i="23"/>
  <c r="I72" i="23" s="1"/>
  <c r="J73" i="23"/>
  <c r="M49" i="1"/>
  <c r="F66" i="13"/>
  <c r="I66" i="13" s="1"/>
  <c r="G70" i="13"/>
  <c r="J50" i="1"/>
  <c r="K50" i="1"/>
  <c r="L50" i="1"/>
  <c r="R70" i="1"/>
  <c r="S70" i="1" s="1"/>
  <c r="N68" i="13"/>
  <c r="L68" i="13"/>
  <c r="M68" i="13"/>
  <c r="K68" i="13"/>
  <c r="J68" i="13"/>
  <c r="C50" i="1"/>
  <c r="O67" i="13"/>
  <c r="P67" i="13" s="1"/>
  <c r="U67" i="13" s="1"/>
  <c r="B51" i="1"/>
  <c r="G47" i="1"/>
  <c r="F47" i="1"/>
  <c r="N47" i="1"/>
  <c r="I47" i="1"/>
  <c r="H50" i="1" l="1"/>
  <c r="E72" i="13"/>
  <c r="D72" i="13"/>
  <c r="E51" i="1"/>
  <c r="D51" i="1"/>
  <c r="O72" i="23"/>
  <c r="T72" i="23" s="1"/>
  <c r="S73" i="23"/>
  <c r="C74" i="23"/>
  <c r="B73" i="13"/>
  <c r="C72" i="13"/>
  <c r="T71" i="13"/>
  <c r="G73" i="23"/>
  <c r="G74" i="23" s="1"/>
  <c r="G75" i="23" s="1"/>
  <c r="G76" i="23" s="1"/>
  <c r="G77" i="23" s="1"/>
  <c r="N73" i="23"/>
  <c r="F73" i="23"/>
  <c r="F74" i="23" s="1"/>
  <c r="M50" i="1"/>
  <c r="F67" i="13"/>
  <c r="I67" i="13" s="1"/>
  <c r="G71" i="13"/>
  <c r="J51" i="1"/>
  <c r="K51" i="1"/>
  <c r="L51" i="1"/>
  <c r="R71" i="1"/>
  <c r="S71" i="1" s="1"/>
  <c r="N69" i="13"/>
  <c r="K69" i="13"/>
  <c r="M69" i="13"/>
  <c r="L69" i="13"/>
  <c r="J69" i="13"/>
  <c r="C51" i="1"/>
  <c r="O68" i="13"/>
  <c r="P68" i="13" s="1"/>
  <c r="U68" i="13" s="1"/>
  <c r="B52" i="1"/>
  <c r="G48" i="1"/>
  <c r="N48" i="1"/>
  <c r="I48" i="1"/>
  <c r="F48" i="1"/>
  <c r="H72" i="13" l="1"/>
  <c r="H51" i="1"/>
  <c r="D52" i="1"/>
  <c r="E52" i="1"/>
  <c r="E73" i="13"/>
  <c r="D73" i="13"/>
  <c r="H73" i="13" s="1"/>
  <c r="I74" i="23"/>
  <c r="F75" i="23"/>
  <c r="S74" i="23"/>
  <c r="T74" i="23" s="1"/>
  <c r="C75" i="23"/>
  <c r="O73" i="23"/>
  <c r="T73" i="23" s="1"/>
  <c r="C73" i="13"/>
  <c r="T72" i="13"/>
  <c r="B74" i="13"/>
  <c r="I73" i="23"/>
  <c r="M51" i="1"/>
  <c r="G72" i="13"/>
  <c r="F68" i="13"/>
  <c r="I68" i="13" s="1"/>
  <c r="J52" i="1"/>
  <c r="K52" i="1"/>
  <c r="L52" i="1"/>
  <c r="R72" i="1"/>
  <c r="S72" i="1" s="1"/>
  <c r="N70" i="13"/>
  <c r="L70" i="13"/>
  <c r="M70" i="13"/>
  <c r="K70" i="13"/>
  <c r="J70" i="13"/>
  <c r="C52" i="1"/>
  <c r="O69" i="13"/>
  <c r="P69" i="13" s="1"/>
  <c r="U69" i="13" s="1"/>
  <c r="B53" i="1"/>
  <c r="G49" i="1"/>
  <c r="N49" i="1"/>
  <c r="I49" i="1"/>
  <c r="F49" i="1"/>
  <c r="E74" i="13" l="1"/>
  <c r="D74" i="13"/>
  <c r="H74" i="13" s="1"/>
  <c r="D53" i="1"/>
  <c r="E53" i="1"/>
  <c r="H52" i="1"/>
  <c r="S75" i="23"/>
  <c r="T75" i="23" s="1"/>
  <c r="C76" i="23"/>
  <c r="I75" i="23"/>
  <c r="F76" i="23"/>
  <c r="B75" i="13"/>
  <c r="C74" i="13"/>
  <c r="T73" i="13"/>
  <c r="M52" i="1"/>
  <c r="G73" i="13"/>
  <c r="F69" i="13"/>
  <c r="I69" i="13" s="1"/>
  <c r="J53" i="1"/>
  <c r="K53" i="1"/>
  <c r="L53" i="1"/>
  <c r="R73" i="1"/>
  <c r="S73" i="1" s="1"/>
  <c r="N71" i="13"/>
  <c r="K71" i="13"/>
  <c r="M71" i="13"/>
  <c r="L71" i="13"/>
  <c r="J71" i="13"/>
  <c r="C53" i="1"/>
  <c r="O70" i="13"/>
  <c r="P70" i="13" s="1"/>
  <c r="U70" i="13" s="1"/>
  <c r="B54" i="1"/>
  <c r="G50" i="1"/>
  <c r="G51" i="1" s="1"/>
  <c r="N50" i="1"/>
  <c r="F50" i="1"/>
  <c r="I50" i="1"/>
  <c r="D54" i="1" l="1"/>
  <c r="E54" i="1"/>
  <c r="H53" i="1"/>
  <c r="E75" i="13"/>
  <c r="D75" i="13"/>
  <c r="H75" i="13" s="1"/>
  <c r="I76" i="23"/>
  <c r="F77" i="23"/>
  <c r="I77" i="23" s="1"/>
  <c r="S76" i="23"/>
  <c r="T76" i="23" s="1"/>
  <c r="C77" i="23"/>
  <c r="C75" i="13"/>
  <c r="T74" i="13"/>
  <c r="B76" i="13"/>
  <c r="M53" i="1"/>
  <c r="F70" i="13"/>
  <c r="I70" i="13" s="1"/>
  <c r="G74" i="13"/>
  <c r="J54" i="1"/>
  <c r="K54" i="1"/>
  <c r="L54" i="1"/>
  <c r="R74" i="1"/>
  <c r="S74" i="1" s="1"/>
  <c r="N72" i="13"/>
  <c r="L72" i="13"/>
  <c r="M72" i="13"/>
  <c r="K72" i="13"/>
  <c r="J72" i="13"/>
  <c r="C54" i="1"/>
  <c r="O71" i="13"/>
  <c r="P71" i="13" s="1"/>
  <c r="U71" i="13" s="1"/>
  <c r="B55" i="1"/>
  <c r="I51" i="1"/>
  <c r="F51" i="1"/>
  <c r="N51" i="1"/>
  <c r="G52" i="1"/>
  <c r="H54" i="1" l="1"/>
  <c r="E76" i="13"/>
  <c r="D76" i="13"/>
  <c r="D55" i="1"/>
  <c r="E55" i="1"/>
  <c r="S77" i="23"/>
  <c r="T77" i="23" s="1"/>
  <c r="C78" i="23"/>
  <c r="B77" i="13"/>
  <c r="C76" i="13"/>
  <c r="T75" i="13"/>
  <c r="M54" i="1"/>
  <c r="G75" i="13"/>
  <c r="F71" i="13"/>
  <c r="I71" i="13" s="1"/>
  <c r="J55" i="1"/>
  <c r="K55" i="1"/>
  <c r="L55" i="1"/>
  <c r="R75" i="1"/>
  <c r="S75" i="1" s="1"/>
  <c r="N73" i="13"/>
  <c r="K73" i="13"/>
  <c r="J73" i="13"/>
  <c r="M73" i="13"/>
  <c r="L73" i="13"/>
  <c r="C55" i="1"/>
  <c r="O72" i="13"/>
  <c r="P72" i="13" s="1"/>
  <c r="U72" i="13" s="1"/>
  <c r="B56" i="1"/>
  <c r="F52" i="1"/>
  <c r="N52" i="1"/>
  <c r="I52" i="1"/>
  <c r="G53" i="1"/>
  <c r="H55" i="1" l="1"/>
  <c r="H76" i="13"/>
  <c r="D56" i="1"/>
  <c r="E56" i="1"/>
  <c r="E77" i="13"/>
  <c r="D77" i="13"/>
  <c r="H77" i="13" s="1"/>
  <c r="T79" i="23"/>
  <c r="T82" i="23"/>
  <c r="T81" i="23"/>
  <c r="T80" i="23"/>
  <c r="S78" i="23"/>
  <c r="T78" i="23" s="1"/>
  <c r="C77" i="13"/>
  <c r="T76" i="13"/>
  <c r="B78" i="13"/>
  <c r="M55" i="1"/>
  <c r="G76" i="13"/>
  <c r="F72" i="13"/>
  <c r="I72" i="13" s="1"/>
  <c r="K56" i="1"/>
  <c r="L56" i="1"/>
  <c r="J56" i="1"/>
  <c r="R76" i="1"/>
  <c r="S76" i="1" s="1"/>
  <c r="N74" i="13"/>
  <c r="M74" i="13"/>
  <c r="K74" i="13"/>
  <c r="J74" i="13"/>
  <c r="L74" i="13"/>
  <c r="C56" i="1"/>
  <c r="O73" i="13"/>
  <c r="P73" i="13" s="1"/>
  <c r="U73" i="13" s="1"/>
  <c r="B57" i="1"/>
  <c r="I53" i="1"/>
  <c r="N53" i="1"/>
  <c r="F53" i="1"/>
  <c r="G54" i="1"/>
  <c r="E78" i="13" l="1"/>
  <c r="D78" i="13"/>
  <c r="H78" i="13" s="1"/>
  <c r="D57" i="1"/>
  <c r="E57" i="1"/>
  <c r="H56" i="1"/>
  <c r="B79" i="13"/>
  <c r="C78" i="13"/>
  <c r="T77" i="13"/>
  <c r="M56" i="1"/>
  <c r="G77" i="13"/>
  <c r="F73" i="13"/>
  <c r="I73" i="13" s="1"/>
  <c r="J57" i="1"/>
  <c r="K57" i="1"/>
  <c r="L57" i="1"/>
  <c r="R77" i="1"/>
  <c r="S77" i="1" s="1"/>
  <c r="N75" i="13"/>
  <c r="L75" i="13"/>
  <c r="J75" i="13"/>
  <c r="K75" i="13"/>
  <c r="M75" i="13"/>
  <c r="C57" i="1"/>
  <c r="O74" i="13"/>
  <c r="P74" i="13" s="1"/>
  <c r="U74" i="13" s="1"/>
  <c r="B58" i="1"/>
  <c r="F54" i="1"/>
  <c r="N54" i="1"/>
  <c r="I54" i="1"/>
  <c r="G55" i="1"/>
  <c r="E79" i="13" l="1"/>
  <c r="D79" i="13"/>
  <c r="H79" i="13" s="1"/>
  <c r="H57" i="1"/>
  <c r="D58" i="1"/>
  <c r="E58" i="1"/>
  <c r="C79" i="13"/>
  <c r="T78" i="13"/>
  <c r="B80" i="13"/>
  <c r="M57" i="1"/>
  <c r="G78" i="13"/>
  <c r="F74" i="13"/>
  <c r="I74" i="13" s="1"/>
  <c r="C9" i="23"/>
  <c r="C10" i="23"/>
  <c r="K58" i="1"/>
  <c r="L58" i="1"/>
  <c r="J58" i="1"/>
  <c r="R78" i="1"/>
  <c r="S78" i="1" s="1"/>
  <c r="N76" i="13"/>
  <c r="L76" i="13"/>
  <c r="M76" i="13"/>
  <c r="K76" i="13"/>
  <c r="J76" i="13"/>
  <c r="C58" i="1"/>
  <c r="O75" i="13"/>
  <c r="P75" i="13" s="1"/>
  <c r="U75" i="13" s="1"/>
  <c r="B59" i="1"/>
  <c r="N55" i="1"/>
  <c r="I55" i="1"/>
  <c r="F55" i="1"/>
  <c r="G56" i="1"/>
  <c r="H58" i="1" l="1"/>
  <c r="E59" i="1"/>
  <c r="D59" i="1"/>
  <c r="E80" i="13"/>
  <c r="D80" i="13"/>
  <c r="H80" i="13" s="1"/>
  <c r="B81" i="13"/>
  <c r="C80" i="13"/>
  <c r="T79" i="13"/>
  <c r="M58" i="1"/>
  <c r="F75" i="13"/>
  <c r="I75" i="13" s="1"/>
  <c r="G79" i="13"/>
  <c r="J59" i="1"/>
  <c r="K59" i="1"/>
  <c r="L59" i="1"/>
  <c r="R79" i="1"/>
  <c r="S79" i="1" s="1"/>
  <c r="N77" i="13"/>
  <c r="L77" i="13"/>
  <c r="K77" i="13"/>
  <c r="M77" i="13"/>
  <c r="J77" i="13"/>
  <c r="C59" i="1"/>
  <c r="O76" i="13"/>
  <c r="P76" i="13" s="1"/>
  <c r="U76" i="13" s="1"/>
  <c r="B60" i="1"/>
  <c r="I56" i="1"/>
  <c r="F56" i="1"/>
  <c r="N56" i="1"/>
  <c r="G57" i="1"/>
  <c r="H59" i="1" l="1"/>
  <c r="E81" i="13"/>
  <c r="D81" i="13"/>
  <c r="H81" i="13" s="1"/>
  <c r="D60" i="1"/>
  <c r="E60" i="1"/>
  <c r="C81" i="13"/>
  <c r="T80" i="13"/>
  <c r="B82" i="13"/>
  <c r="M59" i="1"/>
  <c r="F76" i="13"/>
  <c r="I76" i="13" s="1"/>
  <c r="G80" i="13"/>
  <c r="J60" i="1"/>
  <c r="K60" i="1"/>
  <c r="L60" i="1"/>
  <c r="R80" i="1"/>
  <c r="S80" i="1" s="1"/>
  <c r="N78" i="13"/>
  <c r="K78" i="13"/>
  <c r="M78" i="13"/>
  <c r="J78" i="13"/>
  <c r="L78" i="13"/>
  <c r="C60" i="1"/>
  <c r="O77" i="13"/>
  <c r="P77" i="13" s="1"/>
  <c r="U77" i="13" s="1"/>
  <c r="B61" i="1"/>
  <c r="N57" i="1"/>
  <c r="F57" i="1"/>
  <c r="I57" i="1"/>
  <c r="G58" i="1"/>
  <c r="E82" i="13" l="1"/>
  <c r="D82" i="13"/>
  <c r="H82" i="13" s="1"/>
  <c r="H60" i="1"/>
  <c r="E61" i="1"/>
  <c r="D61" i="1"/>
  <c r="B83" i="13"/>
  <c r="C82" i="13"/>
  <c r="T81" i="13"/>
  <c r="M60" i="1"/>
  <c r="G81" i="13"/>
  <c r="F77" i="13"/>
  <c r="I77" i="13" s="1"/>
  <c r="W3" i="23"/>
  <c r="J61" i="1"/>
  <c r="M61" i="1" s="1"/>
  <c r="K61" i="1"/>
  <c r="L61" i="1"/>
  <c r="V3" i="1"/>
  <c r="N79" i="13"/>
  <c r="L79" i="13"/>
  <c r="M79" i="13"/>
  <c r="K79" i="13"/>
  <c r="J79" i="13"/>
  <c r="C61" i="1"/>
  <c r="O78" i="13"/>
  <c r="P78" i="13" s="1"/>
  <c r="U78" i="13" s="1"/>
  <c r="B62" i="1"/>
  <c r="N58" i="1"/>
  <c r="F58" i="1"/>
  <c r="I58" i="1"/>
  <c r="G59" i="1"/>
  <c r="F6" i="23"/>
  <c r="E83" i="13" l="1"/>
  <c r="D83" i="13"/>
  <c r="E62" i="1"/>
  <c r="D62" i="1"/>
  <c r="H61" i="1"/>
  <c r="L34" i="9"/>
  <c r="C83" i="13"/>
  <c r="T82" i="13"/>
  <c r="B84" i="13"/>
  <c r="G82" i="13"/>
  <c r="F78" i="13"/>
  <c r="I78" i="13" s="1"/>
  <c r="J62" i="1"/>
  <c r="K62" i="1"/>
  <c r="L62" i="1"/>
  <c r="N80" i="13"/>
  <c r="K80" i="13"/>
  <c r="M80" i="13"/>
  <c r="L80" i="13"/>
  <c r="J80" i="13"/>
  <c r="C62" i="1"/>
  <c r="O79" i="13"/>
  <c r="P79" i="13" s="1"/>
  <c r="U79" i="13" s="1"/>
  <c r="B63" i="1"/>
  <c r="N59" i="1"/>
  <c r="I59" i="1"/>
  <c r="F59" i="1"/>
  <c r="G60" i="1"/>
  <c r="H62" i="1" l="1"/>
  <c r="H83" i="13"/>
  <c r="D63" i="1"/>
  <c r="E63" i="1"/>
  <c r="E84" i="13"/>
  <c r="D84" i="13"/>
  <c r="B85" i="13"/>
  <c r="C84" i="13"/>
  <c r="T83" i="13"/>
  <c r="M62" i="1"/>
  <c r="F79" i="13"/>
  <c r="I79" i="13" s="1"/>
  <c r="G83" i="13"/>
  <c r="J63" i="1"/>
  <c r="K63" i="1"/>
  <c r="L63" i="1"/>
  <c r="N81" i="13"/>
  <c r="L81" i="13"/>
  <c r="M81" i="13"/>
  <c r="K81" i="13"/>
  <c r="J81" i="13"/>
  <c r="C63" i="1"/>
  <c r="O80" i="13"/>
  <c r="P80" i="13" s="1"/>
  <c r="U80" i="13" s="1"/>
  <c r="B64" i="1"/>
  <c r="I60" i="1"/>
  <c r="F60" i="1"/>
  <c r="N60" i="1"/>
  <c r="G61" i="1"/>
  <c r="H84" i="13" l="1"/>
  <c r="D64" i="1"/>
  <c r="E64" i="1"/>
  <c r="E85" i="13"/>
  <c r="D85" i="13"/>
  <c r="H85" i="13" s="1"/>
  <c r="H63" i="1"/>
  <c r="C85" i="13"/>
  <c r="T84" i="13"/>
  <c r="B86" i="13"/>
  <c r="M63" i="1"/>
  <c r="F80" i="13"/>
  <c r="I80" i="13" s="1"/>
  <c r="G84" i="13"/>
  <c r="K64" i="1"/>
  <c r="J64" i="1"/>
  <c r="M64" i="1" s="1"/>
  <c r="L64" i="1"/>
  <c r="N82" i="13"/>
  <c r="L82" i="13"/>
  <c r="K82" i="13"/>
  <c r="M82" i="13"/>
  <c r="J82" i="13"/>
  <c r="C64" i="1"/>
  <c r="O81" i="13"/>
  <c r="P81" i="13" s="1"/>
  <c r="U81" i="13" s="1"/>
  <c r="B65" i="1"/>
  <c r="F61" i="1"/>
  <c r="N61" i="1"/>
  <c r="I61" i="1"/>
  <c r="G62" i="1"/>
  <c r="E65" i="1" l="1"/>
  <c r="D65" i="1"/>
  <c r="E86" i="13"/>
  <c r="D86" i="13"/>
  <c r="H86" i="13" s="1"/>
  <c r="H64" i="1"/>
  <c r="B87" i="13"/>
  <c r="C86" i="13"/>
  <c r="T85" i="13"/>
  <c r="G85" i="13"/>
  <c r="F81" i="13"/>
  <c r="I81" i="13" s="1"/>
  <c r="J65" i="1"/>
  <c r="K65" i="1"/>
  <c r="L65" i="1"/>
  <c r="N83" i="13"/>
  <c r="M83" i="13"/>
  <c r="K83" i="13"/>
  <c r="J83" i="13"/>
  <c r="L83" i="13"/>
  <c r="C65" i="1"/>
  <c r="O82" i="13"/>
  <c r="P82" i="13" s="1"/>
  <c r="U82" i="13" s="1"/>
  <c r="B66" i="1"/>
  <c r="I62" i="1"/>
  <c r="N62" i="1"/>
  <c r="F62" i="1"/>
  <c r="G63" i="1"/>
  <c r="H65" i="1" l="1"/>
  <c r="D66" i="1"/>
  <c r="E66" i="1"/>
  <c r="E87" i="13"/>
  <c r="D87" i="13"/>
  <c r="H87" i="13" s="1"/>
  <c r="C87" i="13"/>
  <c r="T86" i="13"/>
  <c r="B88" i="13"/>
  <c r="M65" i="1"/>
  <c r="G86" i="13"/>
  <c r="F82" i="13"/>
  <c r="I82" i="13" s="1"/>
  <c r="J66" i="1"/>
  <c r="L66" i="1"/>
  <c r="K66" i="1"/>
  <c r="N84" i="13"/>
  <c r="M84" i="13"/>
  <c r="L84" i="13"/>
  <c r="J84" i="13"/>
  <c r="K84" i="13"/>
  <c r="C66" i="1"/>
  <c r="O83" i="13"/>
  <c r="P83" i="13" s="1"/>
  <c r="U83" i="13" s="1"/>
  <c r="B67" i="1"/>
  <c r="I63" i="1"/>
  <c r="F63" i="1"/>
  <c r="N63" i="1"/>
  <c r="G64" i="1"/>
  <c r="E67" i="1" l="1"/>
  <c r="D67" i="1"/>
  <c r="D88" i="13"/>
  <c r="E88" i="13"/>
  <c r="H66" i="1"/>
  <c r="B89" i="13"/>
  <c r="C88" i="13"/>
  <c r="T87" i="13"/>
  <c r="M66" i="1"/>
  <c r="G87" i="13"/>
  <c r="F83" i="13"/>
  <c r="I83" i="13" s="1"/>
  <c r="J67" i="1"/>
  <c r="K67" i="1"/>
  <c r="L67" i="1"/>
  <c r="N85" i="13"/>
  <c r="L85" i="13"/>
  <c r="M85" i="13"/>
  <c r="J85" i="13"/>
  <c r="K85" i="13"/>
  <c r="C67" i="1"/>
  <c r="O84" i="13"/>
  <c r="P84" i="13" s="1"/>
  <c r="U84" i="13" s="1"/>
  <c r="B68" i="1"/>
  <c r="N64" i="1"/>
  <c r="F64" i="1"/>
  <c r="I64" i="1"/>
  <c r="G65" i="1"/>
  <c r="H88" i="13" l="1"/>
  <c r="E68" i="1"/>
  <c r="D68" i="1"/>
  <c r="E89" i="13"/>
  <c r="D89" i="13"/>
  <c r="H89" i="13" s="1"/>
  <c r="H67" i="1"/>
  <c r="C89" i="13"/>
  <c r="T88" i="13"/>
  <c r="B90" i="13"/>
  <c r="M67" i="1"/>
  <c r="G88" i="13"/>
  <c r="F84" i="13"/>
  <c r="I84" i="13" s="1"/>
  <c r="J68" i="1"/>
  <c r="K68" i="1"/>
  <c r="L68" i="1"/>
  <c r="N86" i="13"/>
  <c r="K86" i="13"/>
  <c r="L86" i="13"/>
  <c r="M86" i="13"/>
  <c r="J86" i="13"/>
  <c r="C68" i="1"/>
  <c r="O85" i="13"/>
  <c r="P85" i="13" s="1"/>
  <c r="U85" i="13" s="1"/>
  <c r="B69" i="1"/>
  <c r="N65" i="1"/>
  <c r="I65" i="1"/>
  <c r="F65" i="1"/>
  <c r="G66" i="1"/>
  <c r="H68" i="1" l="1"/>
  <c r="D69" i="1"/>
  <c r="E69" i="1"/>
  <c r="E90" i="13"/>
  <c r="D90" i="13"/>
  <c r="H90" i="13" s="1"/>
  <c r="B91" i="13"/>
  <c r="C90" i="13"/>
  <c r="T89" i="13"/>
  <c r="M68" i="1"/>
  <c r="G89" i="13"/>
  <c r="F85" i="13"/>
  <c r="I85" i="13" s="1"/>
  <c r="J69" i="1"/>
  <c r="K69" i="1"/>
  <c r="L69" i="1"/>
  <c r="N87" i="13"/>
  <c r="L87" i="13"/>
  <c r="M87" i="13"/>
  <c r="J87" i="13"/>
  <c r="K87" i="13"/>
  <c r="C69" i="1"/>
  <c r="O86" i="13"/>
  <c r="P86" i="13" s="1"/>
  <c r="U86" i="13" s="1"/>
  <c r="B70" i="1"/>
  <c r="N66" i="1"/>
  <c r="F66" i="1"/>
  <c r="I66" i="1"/>
  <c r="G67" i="1"/>
  <c r="H69" i="1" l="1"/>
  <c r="D70" i="1"/>
  <c r="E70" i="1"/>
  <c r="E91" i="13"/>
  <c r="D91" i="13"/>
  <c r="H91" i="13" s="1"/>
  <c r="C91" i="13"/>
  <c r="T90" i="13"/>
  <c r="B92" i="13"/>
  <c r="M69" i="1"/>
  <c r="G90" i="13"/>
  <c r="F86" i="13"/>
  <c r="I86" i="13" s="1"/>
  <c r="K70" i="1"/>
  <c r="L70" i="1"/>
  <c r="J70" i="1"/>
  <c r="N88" i="13"/>
  <c r="K88" i="13"/>
  <c r="M88" i="13"/>
  <c r="L88" i="13"/>
  <c r="J88" i="13"/>
  <c r="C70" i="1"/>
  <c r="O87" i="13"/>
  <c r="P87" i="13" s="1"/>
  <c r="U87" i="13" s="1"/>
  <c r="B71" i="1"/>
  <c r="N67" i="1"/>
  <c r="I67" i="1"/>
  <c r="F67" i="1"/>
  <c r="G68" i="1"/>
  <c r="E92" i="13" l="1"/>
  <c r="D92" i="13"/>
  <c r="H92" i="13" s="1"/>
  <c r="D71" i="1"/>
  <c r="E71" i="1"/>
  <c r="H70" i="1"/>
  <c r="B93" i="13"/>
  <c r="C92" i="13"/>
  <c r="T91" i="13"/>
  <c r="M70" i="1"/>
  <c r="G91" i="13"/>
  <c r="F87" i="13"/>
  <c r="I87" i="13" s="1"/>
  <c r="J71" i="1"/>
  <c r="K71" i="1"/>
  <c r="L71" i="1"/>
  <c r="N89" i="13"/>
  <c r="M89" i="13"/>
  <c r="J89" i="13"/>
  <c r="K89" i="13"/>
  <c r="L89" i="13"/>
  <c r="C71" i="1"/>
  <c r="O88" i="13"/>
  <c r="P88" i="13" s="1"/>
  <c r="U88" i="13" s="1"/>
  <c r="B72" i="1"/>
  <c r="I68" i="1"/>
  <c r="F68" i="1"/>
  <c r="N68" i="1"/>
  <c r="G69" i="1"/>
  <c r="H71" i="1" l="1"/>
  <c r="D72" i="1"/>
  <c r="E72" i="1"/>
  <c r="E93" i="13"/>
  <c r="D93" i="13"/>
  <c r="H93" i="13" s="1"/>
  <c r="C93" i="13"/>
  <c r="T92" i="13"/>
  <c r="B94" i="13"/>
  <c r="M71" i="1"/>
  <c r="G92" i="13"/>
  <c r="F88" i="13"/>
  <c r="I88" i="13" s="1"/>
  <c r="K72" i="1"/>
  <c r="J72" i="1"/>
  <c r="L72" i="1"/>
  <c r="N90" i="13"/>
  <c r="L90" i="13"/>
  <c r="M90" i="13"/>
  <c r="K90" i="13"/>
  <c r="J90" i="13"/>
  <c r="C72" i="1"/>
  <c r="O89" i="13"/>
  <c r="P89" i="13" s="1"/>
  <c r="U89" i="13" s="1"/>
  <c r="B73" i="1"/>
  <c r="F69" i="1"/>
  <c r="N69" i="1"/>
  <c r="I69" i="1"/>
  <c r="G70" i="1"/>
  <c r="D73" i="1" l="1"/>
  <c r="E73" i="1"/>
  <c r="H72" i="1"/>
  <c r="E94" i="13"/>
  <c r="D94" i="13"/>
  <c r="B95" i="13"/>
  <c r="C94" i="13"/>
  <c r="T93" i="13"/>
  <c r="M72" i="1"/>
  <c r="G93" i="13"/>
  <c r="F89" i="13"/>
  <c r="I89" i="13" s="1"/>
  <c r="J73" i="1"/>
  <c r="K73" i="1"/>
  <c r="L73" i="1"/>
  <c r="N91" i="13"/>
  <c r="L91" i="13"/>
  <c r="M91" i="13"/>
  <c r="K91" i="13"/>
  <c r="J91" i="13"/>
  <c r="C73" i="1"/>
  <c r="O90" i="13"/>
  <c r="P90" i="13" s="1"/>
  <c r="U90" i="13" s="1"/>
  <c r="B74" i="1"/>
  <c r="N70" i="1"/>
  <c r="I70" i="1"/>
  <c r="F70" i="1"/>
  <c r="G71" i="1"/>
  <c r="H94" i="13" l="1"/>
  <c r="E74" i="1"/>
  <c r="D74" i="1"/>
  <c r="E95" i="13"/>
  <c r="D95" i="13"/>
  <c r="H95" i="13" s="1"/>
  <c r="H73" i="1"/>
  <c r="C95" i="13"/>
  <c r="T94" i="13"/>
  <c r="B96" i="13"/>
  <c r="M73" i="1"/>
  <c r="G94" i="13"/>
  <c r="F90" i="13"/>
  <c r="I90" i="13" s="1"/>
  <c r="N92" i="13"/>
  <c r="L92" i="13"/>
  <c r="M92" i="13"/>
  <c r="K92" i="13"/>
  <c r="J92" i="13"/>
  <c r="C74" i="1"/>
  <c r="L74" i="1"/>
  <c r="J74" i="1"/>
  <c r="K74" i="1"/>
  <c r="O91" i="13"/>
  <c r="P91" i="13" s="1"/>
  <c r="U91" i="13" s="1"/>
  <c r="B75" i="1"/>
  <c r="F71" i="1"/>
  <c r="I71" i="1"/>
  <c r="N71" i="1"/>
  <c r="G72" i="1"/>
  <c r="H74" i="1" l="1"/>
  <c r="E75" i="1"/>
  <c r="D75" i="1"/>
  <c r="D96" i="13"/>
  <c r="E96" i="13"/>
  <c r="H96" i="13" s="1"/>
  <c r="B97" i="13"/>
  <c r="C96" i="13"/>
  <c r="T95" i="13"/>
  <c r="G95" i="13"/>
  <c r="F91" i="13"/>
  <c r="I91" i="13" s="1"/>
  <c r="N93" i="13"/>
  <c r="M93" i="13"/>
  <c r="L93" i="13"/>
  <c r="K93" i="13"/>
  <c r="J93" i="13"/>
  <c r="C75" i="1"/>
  <c r="L75" i="1"/>
  <c r="J75" i="1"/>
  <c r="K75" i="1"/>
  <c r="M74" i="1"/>
  <c r="O92" i="13"/>
  <c r="P92" i="13" s="1"/>
  <c r="U92" i="13" s="1"/>
  <c r="B76" i="1"/>
  <c r="N72" i="1"/>
  <c r="F72" i="1"/>
  <c r="I72" i="1"/>
  <c r="G73" i="1"/>
  <c r="E97" i="13" l="1"/>
  <c r="D97" i="13"/>
  <c r="H97" i="13" s="1"/>
  <c r="D76" i="1"/>
  <c r="E76" i="1"/>
  <c r="H75" i="1"/>
  <c r="C97" i="13"/>
  <c r="T96" i="13"/>
  <c r="B98" i="13"/>
  <c r="G96" i="13"/>
  <c r="F92" i="13"/>
  <c r="I92" i="13" s="1"/>
  <c r="N94" i="13"/>
  <c r="M94" i="13"/>
  <c r="K94" i="13"/>
  <c r="L94" i="13"/>
  <c r="J94" i="13"/>
  <c r="C76" i="1"/>
  <c r="L76" i="1"/>
  <c r="J76" i="1"/>
  <c r="K76" i="1"/>
  <c r="M75" i="1"/>
  <c r="O93" i="13"/>
  <c r="P93" i="13" s="1"/>
  <c r="U93" i="13" s="1"/>
  <c r="B77" i="1"/>
  <c r="N73" i="1"/>
  <c r="I73" i="1"/>
  <c r="F73" i="1"/>
  <c r="G74" i="1"/>
  <c r="H76" i="1" l="1"/>
  <c r="E77" i="1"/>
  <c r="D77" i="1"/>
  <c r="E98" i="13"/>
  <c r="D98" i="13"/>
  <c r="H98" i="13" s="1"/>
  <c r="B78" i="1"/>
  <c r="B79" i="1" s="1"/>
  <c r="B99" i="13"/>
  <c r="C98" i="13"/>
  <c r="T97" i="13"/>
  <c r="G97" i="13"/>
  <c r="F93" i="13"/>
  <c r="I93" i="13" s="1"/>
  <c r="N95" i="13"/>
  <c r="L95" i="13"/>
  <c r="K95" i="13"/>
  <c r="M95" i="13"/>
  <c r="J95" i="13"/>
  <c r="C77" i="1"/>
  <c r="L77" i="1"/>
  <c r="J77" i="1"/>
  <c r="K77" i="1"/>
  <c r="M76" i="1"/>
  <c r="O94" i="13"/>
  <c r="P94" i="13" s="1"/>
  <c r="U94" i="13" s="1"/>
  <c r="N74" i="1"/>
  <c r="I74" i="1"/>
  <c r="F74" i="1"/>
  <c r="G75" i="1"/>
  <c r="I78" i="1" l="1"/>
  <c r="J78" i="1"/>
  <c r="F78" i="1"/>
  <c r="N78" i="1"/>
  <c r="L78" i="1"/>
  <c r="H77" i="1"/>
  <c r="E99" i="13"/>
  <c r="D99" i="13"/>
  <c r="H99" i="13" s="1"/>
  <c r="E78" i="1"/>
  <c r="D78" i="1"/>
  <c r="M78" i="1"/>
  <c r="G78" i="1"/>
  <c r="D79" i="1"/>
  <c r="E79" i="1"/>
  <c r="C78" i="1"/>
  <c r="K78" i="1"/>
  <c r="B100" i="13"/>
  <c r="C99" i="13"/>
  <c r="T98" i="13"/>
  <c r="G98" i="13"/>
  <c r="F94" i="13"/>
  <c r="I94" i="13" s="1"/>
  <c r="N79" i="1"/>
  <c r="G79" i="1"/>
  <c r="L79" i="1"/>
  <c r="B80" i="1"/>
  <c r="K79" i="1"/>
  <c r="I79" i="1"/>
  <c r="M79" i="1"/>
  <c r="F79" i="1"/>
  <c r="J79" i="1"/>
  <c r="C79" i="1"/>
  <c r="N96" i="13"/>
  <c r="L96" i="13"/>
  <c r="M96" i="13"/>
  <c r="J96" i="13"/>
  <c r="K96" i="13"/>
  <c r="M77" i="1"/>
  <c r="O95" i="13"/>
  <c r="P95" i="13" s="1"/>
  <c r="U95" i="13" s="1"/>
  <c r="N75" i="1"/>
  <c r="F75" i="1"/>
  <c r="I75" i="1"/>
  <c r="G76" i="1"/>
  <c r="H79" i="1" l="1"/>
  <c r="H78" i="1"/>
  <c r="D80" i="1"/>
  <c r="E80" i="1"/>
  <c r="C9" i="1" s="1"/>
  <c r="E100" i="13"/>
  <c r="D100" i="13"/>
  <c r="H100" i="13" s="1"/>
  <c r="C100" i="13"/>
  <c r="T99" i="13"/>
  <c r="B101" i="13"/>
  <c r="G99" i="13"/>
  <c r="F95" i="13"/>
  <c r="I95" i="13" s="1"/>
  <c r="I80" i="1"/>
  <c r="J80" i="1"/>
  <c r="L80" i="1"/>
  <c r="N80" i="1"/>
  <c r="C80" i="1"/>
  <c r="K80" i="1"/>
  <c r="F80" i="1"/>
  <c r="M80" i="1"/>
  <c r="C10" i="1" s="1"/>
  <c r="G80" i="1"/>
  <c r="N97" i="13"/>
  <c r="K97" i="13"/>
  <c r="M97" i="13"/>
  <c r="J97" i="13"/>
  <c r="L97" i="13"/>
  <c r="O96" i="13"/>
  <c r="P96" i="13" s="1"/>
  <c r="U96" i="13" s="1"/>
  <c r="I76" i="1"/>
  <c r="N76" i="1"/>
  <c r="F76" i="1"/>
  <c r="S18" i="1" l="1"/>
  <c r="S19" i="1"/>
  <c r="S20" i="1"/>
  <c r="S24" i="1"/>
  <c r="S21" i="1"/>
  <c r="S22" i="1"/>
  <c r="S26" i="1"/>
  <c r="S25" i="1"/>
  <c r="S23" i="1"/>
  <c r="S28" i="1"/>
  <c r="S27" i="1"/>
  <c r="S29" i="1"/>
  <c r="H80" i="1"/>
  <c r="E101" i="13"/>
  <c r="D101" i="13"/>
  <c r="H101" i="13" s="1"/>
  <c r="B102" i="13"/>
  <c r="C101" i="13"/>
  <c r="T100" i="13"/>
  <c r="G100" i="13"/>
  <c r="F96" i="13"/>
  <c r="I96" i="13" s="1"/>
  <c r="N98" i="13"/>
  <c r="K98" i="13"/>
  <c r="L98" i="13"/>
  <c r="M98" i="13"/>
  <c r="J98" i="13"/>
  <c r="O97" i="13"/>
  <c r="P97" i="13" s="1"/>
  <c r="U97" i="13" s="1"/>
  <c r="N77" i="1"/>
  <c r="F77" i="1"/>
  <c r="I77" i="1"/>
  <c r="G77" i="1"/>
  <c r="E102" i="13" l="1"/>
  <c r="D102" i="13"/>
  <c r="H102" i="13" s="1"/>
  <c r="C102" i="13"/>
  <c r="T101" i="13"/>
  <c r="B103" i="13"/>
  <c r="F97" i="13"/>
  <c r="I97" i="13" s="1"/>
  <c r="G101" i="13"/>
  <c r="N99" i="13"/>
  <c r="M99" i="13"/>
  <c r="L99" i="13"/>
  <c r="J99" i="13"/>
  <c r="K99" i="13"/>
  <c r="O98" i="13"/>
  <c r="P98" i="13" s="1"/>
  <c r="U98" i="13" s="1"/>
  <c r="E103" i="13" l="1"/>
  <c r="D103" i="13"/>
  <c r="H103" i="13" s="1"/>
  <c r="C103" i="13"/>
  <c r="T102" i="13"/>
  <c r="B104" i="13"/>
  <c r="G102" i="13"/>
  <c r="F98" i="13"/>
  <c r="I98" i="13" s="1"/>
  <c r="N100" i="13"/>
  <c r="L100" i="13"/>
  <c r="J100" i="13"/>
  <c r="M100" i="13"/>
  <c r="K100" i="13"/>
  <c r="O99" i="13"/>
  <c r="P99" i="13" s="1"/>
  <c r="U99" i="13" s="1"/>
  <c r="D104" i="13" l="1"/>
  <c r="E104" i="13"/>
  <c r="B105" i="13"/>
  <c r="C104" i="13"/>
  <c r="T103" i="13"/>
  <c r="G103" i="13"/>
  <c r="F99" i="13"/>
  <c r="I99" i="13" s="1"/>
  <c r="N101" i="13"/>
  <c r="L101" i="13"/>
  <c r="K101" i="13"/>
  <c r="M101" i="13"/>
  <c r="J101" i="13"/>
  <c r="O100" i="13"/>
  <c r="P100" i="13" s="1"/>
  <c r="U100" i="13" s="1"/>
  <c r="H104" i="13" l="1"/>
  <c r="E105" i="13"/>
  <c r="D105" i="13"/>
  <c r="H105" i="13" s="1"/>
  <c r="C105" i="13"/>
  <c r="T104" i="13"/>
  <c r="B106" i="13"/>
  <c r="F100" i="13"/>
  <c r="I100" i="13" s="1"/>
  <c r="G104" i="13"/>
  <c r="N102" i="13"/>
  <c r="M102" i="13"/>
  <c r="L102" i="13"/>
  <c r="K102" i="13"/>
  <c r="J102" i="13"/>
  <c r="O101" i="13"/>
  <c r="P101" i="13" s="1"/>
  <c r="U101" i="13" s="1"/>
  <c r="E106" i="13" l="1"/>
  <c r="D106" i="13"/>
  <c r="H106" i="13" s="1"/>
  <c r="B107" i="13"/>
  <c r="C106" i="13"/>
  <c r="T105" i="13"/>
  <c r="G105" i="13"/>
  <c r="F101" i="13"/>
  <c r="I101" i="13" s="1"/>
  <c r="N103" i="13"/>
  <c r="M103" i="13"/>
  <c r="K103" i="13"/>
  <c r="L103" i="13"/>
  <c r="J103" i="13"/>
  <c r="O102" i="13"/>
  <c r="P102" i="13" s="1"/>
  <c r="U102" i="13" s="1"/>
  <c r="E107" i="13" l="1"/>
  <c r="D107" i="13"/>
  <c r="C107" i="13"/>
  <c r="T106" i="13"/>
  <c r="B108" i="13"/>
  <c r="G106" i="13"/>
  <c r="F102" i="13"/>
  <c r="I102" i="13" s="1"/>
  <c r="N104" i="13"/>
  <c r="M104" i="13"/>
  <c r="L104" i="13"/>
  <c r="J104" i="13"/>
  <c r="K104" i="13"/>
  <c r="O103" i="13"/>
  <c r="P103" i="13" s="1"/>
  <c r="U103" i="13" s="1"/>
  <c r="H107" i="13" l="1"/>
  <c r="E108" i="13"/>
  <c r="D108" i="13"/>
  <c r="H108" i="13" s="1"/>
  <c r="B109" i="13"/>
  <c r="C108" i="13"/>
  <c r="T107" i="13"/>
  <c r="G107" i="13"/>
  <c r="F103" i="13"/>
  <c r="I103" i="13" s="1"/>
  <c r="N105" i="13"/>
  <c r="K105" i="13"/>
  <c r="L105" i="13"/>
  <c r="M105" i="13"/>
  <c r="J105" i="13"/>
  <c r="O104" i="13"/>
  <c r="P104" i="13" s="1"/>
  <c r="U104" i="13" s="1"/>
  <c r="E109" i="13" l="1"/>
  <c r="D109" i="13"/>
  <c r="C109" i="13"/>
  <c r="T108" i="13"/>
  <c r="B110" i="13"/>
  <c r="F104" i="13"/>
  <c r="I104" i="13" s="1"/>
  <c r="G108" i="13"/>
  <c r="N106" i="13"/>
  <c r="K106" i="13"/>
  <c r="M106" i="13"/>
  <c r="L106" i="13"/>
  <c r="J106" i="13"/>
  <c r="O105" i="13"/>
  <c r="P105" i="13" s="1"/>
  <c r="U105" i="13" s="1"/>
  <c r="H109" i="13" l="1"/>
  <c r="E110" i="13"/>
  <c r="D110" i="13"/>
  <c r="H110" i="13" s="1"/>
  <c r="B111" i="13"/>
  <c r="C110" i="13"/>
  <c r="T109" i="13"/>
  <c r="G109" i="13"/>
  <c r="F105" i="13"/>
  <c r="I105" i="13" s="1"/>
  <c r="N107" i="13"/>
  <c r="K107" i="13"/>
  <c r="L107" i="13"/>
  <c r="J107" i="13"/>
  <c r="M107" i="13"/>
  <c r="O106" i="13"/>
  <c r="P106" i="13" s="1"/>
  <c r="U106" i="13" s="1"/>
  <c r="E111" i="13" l="1"/>
  <c r="D111" i="13"/>
  <c r="H111" i="13" s="1"/>
  <c r="C111" i="13"/>
  <c r="T110" i="13"/>
  <c r="B112" i="13"/>
  <c r="G110" i="13"/>
  <c r="F106" i="13"/>
  <c r="I106" i="13" s="1"/>
  <c r="N108" i="13"/>
  <c r="L108" i="13"/>
  <c r="M108" i="13"/>
  <c r="K108" i="13"/>
  <c r="J108" i="13"/>
  <c r="O107" i="13"/>
  <c r="P107" i="13" s="1"/>
  <c r="U107" i="13" s="1"/>
  <c r="D112" i="13" l="1"/>
  <c r="E112" i="13"/>
  <c r="H112" i="13" s="1"/>
  <c r="B113" i="13"/>
  <c r="C112" i="13"/>
  <c r="T111" i="13"/>
  <c r="G111" i="13"/>
  <c r="F107" i="13"/>
  <c r="I107" i="13" s="1"/>
  <c r="N109" i="13"/>
  <c r="L109" i="13"/>
  <c r="M109" i="13"/>
  <c r="J109" i="13"/>
  <c r="K109" i="13"/>
  <c r="O108" i="13"/>
  <c r="P108" i="13" s="1"/>
  <c r="U108" i="13" s="1"/>
  <c r="E113" i="13" l="1"/>
  <c r="D113" i="13"/>
  <c r="H113" i="13" s="1"/>
  <c r="C113" i="13"/>
  <c r="T112" i="13"/>
  <c r="B114" i="13"/>
  <c r="G112" i="13"/>
  <c r="F108" i="13"/>
  <c r="I108" i="13" s="1"/>
  <c r="N110" i="13"/>
  <c r="K110" i="13"/>
  <c r="M110" i="13"/>
  <c r="L110" i="13"/>
  <c r="J110" i="13"/>
  <c r="O109" i="13"/>
  <c r="P109" i="13" s="1"/>
  <c r="U109" i="13" s="1"/>
  <c r="E114" i="13" l="1"/>
  <c r="D114" i="13"/>
  <c r="H114" i="13" s="1"/>
  <c r="B115" i="13"/>
  <c r="C114" i="13"/>
  <c r="T113" i="13"/>
  <c r="G113" i="13"/>
  <c r="F109" i="13"/>
  <c r="I109" i="13" s="1"/>
  <c r="N111" i="13"/>
  <c r="L111" i="13"/>
  <c r="M111" i="13"/>
  <c r="K111" i="13"/>
  <c r="J111" i="13"/>
  <c r="O110" i="13"/>
  <c r="P110" i="13" s="1"/>
  <c r="U110" i="13" s="1"/>
  <c r="E115" i="13" l="1"/>
  <c r="D115" i="13"/>
  <c r="C115" i="13"/>
  <c r="T114" i="13"/>
  <c r="B116" i="13"/>
  <c r="G114" i="13"/>
  <c r="F110" i="13"/>
  <c r="I110" i="13" s="1"/>
  <c r="N112" i="13"/>
  <c r="M112" i="13"/>
  <c r="J112" i="13"/>
  <c r="L112" i="13"/>
  <c r="K112" i="13"/>
  <c r="O111" i="13"/>
  <c r="P111" i="13" s="1"/>
  <c r="U111" i="13" s="1"/>
  <c r="H115" i="13" l="1"/>
  <c r="E116" i="13"/>
  <c r="D116" i="13"/>
  <c r="H116" i="13" s="1"/>
  <c r="B117" i="13"/>
  <c r="C116" i="13"/>
  <c r="T115" i="13"/>
  <c r="G115" i="13"/>
  <c r="F111" i="13"/>
  <c r="I111" i="13" s="1"/>
  <c r="N113" i="13"/>
  <c r="L113" i="13"/>
  <c r="K113" i="13"/>
  <c r="J113" i="13"/>
  <c r="M113" i="13"/>
  <c r="O112" i="13"/>
  <c r="P112" i="13" s="1"/>
  <c r="U112" i="13" s="1"/>
  <c r="F6" i="1"/>
  <c r="E117" i="13" l="1"/>
  <c r="D117" i="13"/>
  <c r="H117" i="13" s="1"/>
  <c r="C117" i="13"/>
  <c r="T116" i="13"/>
  <c r="B118" i="13"/>
  <c r="G116" i="13"/>
  <c r="F112" i="13"/>
  <c r="I112" i="13" s="1"/>
  <c r="L17" i="9"/>
  <c r="N114" i="13"/>
  <c r="M114" i="13"/>
  <c r="K114" i="13"/>
  <c r="L114" i="13"/>
  <c r="J114" i="13"/>
  <c r="O113" i="13"/>
  <c r="P113" i="13" s="1"/>
  <c r="U113" i="13" s="1"/>
  <c r="E118" i="13" l="1"/>
  <c r="D118" i="13"/>
  <c r="H118" i="13" s="1"/>
  <c r="B119" i="13"/>
  <c r="C118" i="13"/>
  <c r="T117" i="13"/>
  <c r="G117" i="13"/>
  <c r="F113" i="13"/>
  <c r="I113" i="13" s="1"/>
  <c r="N115" i="13"/>
  <c r="M115" i="13"/>
  <c r="L115" i="13"/>
  <c r="K115" i="13"/>
  <c r="J115" i="13"/>
  <c r="O114" i="13"/>
  <c r="P114" i="13" s="1"/>
  <c r="U114" i="13" s="1"/>
  <c r="E119" i="13" l="1"/>
  <c r="D119" i="13"/>
  <c r="H119" i="13" s="1"/>
  <c r="B120" i="13"/>
  <c r="C119" i="13"/>
  <c r="T118" i="13"/>
  <c r="G118" i="13"/>
  <c r="F114" i="13"/>
  <c r="I114" i="13" s="1"/>
  <c r="N116" i="13"/>
  <c r="M116" i="13"/>
  <c r="L116" i="13"/>
  <c r="K116" i="13"/>
  <c r="J116" i="13"/>
  <c r="O115" i="13"/>
  <c r="P115" i="13" s="1"/>
  <c r="U115" i="13" s="1"/>
  <c r="D120" i="13" l="1"/>
  <c r="E120" i="13"/>
  <c r="B121" i="13"/>
  <c r="C120" i="13"/>
  <c r="T119" i="13"/>
  <c r="G119" i="13"/>
  <c r="F115" i="13"/>
  <c r="I115" i="13" s="1"/>
  <c r="N117" i="13"/>
  <c r="K117" i="13"/>
  <c r="M117" i="13"/>
  <c r="L117" i="13"/>
  <c r="J117" i="13"/>
  <c r="O116" i="13"/>
  <c r="P116" i="13" s="1"/>
  <c r="U116" i="13" s="1"/>
  <c r="H120" i="13" l="1"/>
  <c r="E121" i="13"/>
  <c r="D121" i="13"/>
  <c r="H121" i="13" s="1"/>
  <c r="C121" i="13"/>
  <c r="T120" i="13"/>
  <c r="B122" i="13"/>
  <c r="G120" i="13"/>
  <c r="F116" i="13"/>
  <c r="I116" i="13" s="1"/>
  <c r="N118" i="13"/>
  <c r="L118" i="13"/>
  <c r="M118" i="13"/>
  <c r="J118" i="13"/>
  <c r="K118" i="13"/>
  <c r="O117" i="13"/>
  <c r="P117" i="13" s="1"/>
  <c r="U117" i="13" s="1"/>
  <c r="E122" i="13" l="1"/>
  <c r="D122" i="13"/>
  <c r="H122" i="13" s="1"/>
  <c r="B123" i="13"/>
  <c r="C122" i="13"/>
  <c r="T121" i="13"/>
  <c r="G121" i="13"/>
  <c r="F117" i="13"/>
  <c r="I117" i="13" s="1"/>
  <c r="N119" i="13"/>
  <c r="M119" i="13"/>
  <c r="L119" i="13"/>
  <c r="J119" i="13"/>
  <c r="K119" i="13"/>
  <c r="O118" i="13"/>
  <c r="P118" i="13" s="1"/>
  <c r="U118" i="13" s="1"/>
  <c r="E123" i="13" l="1"/>
  <c r="D123" i="13"/>
  <c r="H123" i="13" s="1"/>
  <c r="C123" i="13"/>
  <c r="T122" i="13"/>
  <c r="B124" i="13"/>
  <c r="G122" i="13"/>
  <c r="F118" i="13"/>
  <c r="I118" i="13" s="1"/>
  <c r="N120" i="13"/>
  <c r="M120" i="13"/>
  <c r="K120" i="13"/>
  <c r="L120" i="13"/>
  <c r="J120" i="13"/>
  <c r="O119" i="13"/>
  <c r="P119" i="13" s="1"/>
  <c r="U119" i="13" s="1"/>
  <c r="E124" i="13" l="1"/>
  <c r="D124" i="13"/>
  <c r="H124" i="13" s="1"/>
  <c r="B125" i="13"/>
  <c r="C124" i="13"/>
  <c r="T123" i="13"/>
  <c r="G123" i="13"/>
  <c r="F119" i="13"/>
  <c r="I119" i="13" s="1"/>
  <c r="N121" i="13"/>
  <c r="K121" i="13"/>
  <c r="M121" i="13"/>
  <c r="L121" i="13"/>
  <c r="J121" i="13"/>
  <c r="O120" i="13"/>
  <c r="P120" i="13" s="1"/>
  <c r="U120" i="13" s="1"/>
  <c r="E125" i="13" l="1"/>
  <c r="D125" i="13"/>
  <c r="H125" i="13" s="1"/>
  <c r="C125" i="13"/>
  <c r="T124" i="13"/>
  <c r="B126" i="13"/>
  <c r="G124" i="13"/>
  <c r="F120" i="13"/>
  <c r="I120" i="13" s="1"/>
  <c r="N122" i="13"/>
  <c r="M122" i="13"/>
  <c r="K122" i="13"/>
  <c r="J122" i="13"/>
  <c r="L122" i="13"/>
  <c r="O121" i="13"/>
  <c r="P121" i="13" s="1"/>
  <c r="U121" i="13" s="1"/>
  <c r="E126" i="13" l="1"/>
  <c r="D126" i="13"/>
  <c r="H126" i="13" s="1"/>
  <c r="B127" i="13"/>
  <c r="C126" i="13"/>
  <c r="T125" i="13"/>
  <c r="G125" i="13"/>
  <c r="F121" i="13"/>
  <c r="I121" i="13" s="1"/>
  <c r="N123" i="13"/>
  <c r="M123" i="13"/>
  <c r="L123" i="13"/>
  <c r="K123" i="13"/>
  <c r="J123" i="13"/>
  <c r="O122" i="13"/>
  <c r="P122" i="13" s="1"/>
  <c r="U122" i="13" s="1"/>
  <c r="E127" i="13" l="1"/>
  <c r="D127" i="13"/>
  <c r="C127" i="13"/>
  <c r="T126" i="13"/>
  <c r="B128" i="13"/>
  <c r="G126" i="13"/>
  <c r="F122" i="13"/>
  <c r="I122" i="13" s="1"/>
  <c r="N124" i="13"/>
  <c r="M124" i="13"/>
  <c r="K124" i="13"/>
  <c r="L124" i="13"/>
  <c r="J124" i="13"/>
  <c r="O123" i="13"/>
  <c r="P123" i="13" s="1"/>
  <c r="U123" i="13" s="1"/>
  <c r="H127" i="13" l="1"/>
  <c r="D128" i="13"/>
  <c r="E128" i="13"/>
  <c r="C128" i="13"/>
  <c r="T127" i="13"/>
  <c r="B129" i="13"/>
  <c r="G127" i="13"/>
  <c r="F123" i="13"/>
  <c r="I123" i="13" s="1"/>
  <c r="N125" i="13"/>
  <c r="J125" i="13"/>
  <c r="L125" i="13"/>
  <c r="K125" i="13"/>
  <c r="M125" i="13"/>
  <c r="O124" i="13"/>
  <c r="P124" i="13" s="1"/>
  <c r="U124" i="13" s="1"/>
  <c r="H128" i="13" l="1"/>
  <c r="E129" i="13"/>
  <c r="D129" i="13"/>
  <c r="C129" i="13"/>
  <c r="T128" i="13"/>
  <c r="B130" i="13"/>
  <c r="G128" i="13"/>
  <c r="F124" i="13"/>
  <c r="I124" i="13" s="1"/>
  <c r="N126" i="13"/>
  <c r="M126" i="13"/>
  <c r="K126" i="13"/>
  <c r="L126" i="13"/>
  <c r="J126" i="13"/>
  <c r="O125" i="13"/>
  <c r="P125" i="13" s="1"/>
  <c r="U125" i="13" s="1"/>
  <c r="H129" i="13" l="1"/>
  <c r="E130" i="13"/>
  <c r="D130" i="13"/>
  <c r="H130" i="13"/>
  <c r="B131" i="13"/>
  <c r="C130" i="13"/>
  <c r="T129" i="13"/>
  <c r="G129" i="13"/>
  <c r="F125" i="13"/>
  <c r="I125" i="13" s="1"/>
  <c r="N127" i="13"/>
  <c r="L127" i="13"/>
  <c r="M127" i="13"/>
  <c r="J127" i="13"/>
  <c r="K127" i="13"/>
  <c r="O126" i="13"/>
  <c r="P126" i="13" s="1"/>
  <c r="U126" i="13" s="1"/>
  <c r="E131" i="13" l="1"/>
  <c r="D131" i="13"/>
  <c r="C131" i="13"/>
  <c r="T130" i="13"/>
  <c r="B132" i="13"/>
  <c r="F126" i="13"/>
  <c r="I126" i="13" s="1"/>
  <c r="G130" i="13"/>
  <c r="N128" i="13"/>
  <c r="L128" i="13"/>
  <c r="K128" i="13"/>
  <c r="M128" i="13"/>
  <c r="J128" i="13"/>
  <c r="O127" i="13"/>
  <c r="P127" i="13" s="1"/>
  <c r="U127" i="13" s="1"/>
  <c r="H131" i="13" l="1"/>
  <c r="E132" i="13"/>
  <c r="D132" i="13"/>
  <c r="H132" i="13" s="1"/>
  <c r="B133" i="13"/>
  <c r="C132" i="13"/>
  <c r="T131" i="13"/>
  <c r="G131" i="13"/>
  <c r="F127" i="13"/>
  <c r="I127" i="13" s="1"/>
  <c r="N129" i="13"/>
  <c r="L129" i="13"/>
  <c r="M129" i="13"/>
  <c r="K129" i="13"/>
  <c r="J129" i="13"/>
  <c r="O128" i="13"/>
  <c r="P128" i="13" s="1"/>
  <c r="U128" i="13" s="1"/>
  <c r="E133" i="13" l="1"/>
  <c r="D133" i="13"/>
  <c r="H133" i="13" s="1"/>
  <c r="C133" i="13"/>
  <c r="T132" i="13"/>
  <c r="B134" i="13"/>
  <c r="G132" i="13"/>
  <c r="F128" i="13"/>
  <c r="I128" i="13" s="1"/>
  <c r="N130" i="13"/>
  <c r="K130" i="13"/>
  <c r="M130" i="13"/>
  <c r="L130" i="13"/>
  <c r="J130" i="13"/>
  <c r="O129" i="13"/>
  <c r="P129" i="13" s="1"/>
  <c r="U129" i="13" s="1"/>
  <c r="E134" i="13" l="1"/>
  <c r="D134" i="13"/>
  <c r="H134" i="13" s="1"/>
  <c r="B135" i="13"/>
  <c r="C134" i="13"/>
  <c r="T133" i="13"/>
  <c r="G133" i="13"/>
  <c r="F129" i="13"/>
  <c r="I129" i="13" s="1"/>
  <c r="N131" i="13"/>
  <c r="L131" i="13"/>
  <c r="M131" i="13"/>
  <c r="K131" i="13"/>
  <c r="J131" i="13"/>
  <c r="O130" i="13"/>
  <c r="P130" i="13" s="1"/>
  <c r="U130" i="13" s="1"/>
  <c r="E135" i="13" l="1"/>
  <c r="D135" i="13"/>
  <c r="C135" i="13"/>
  <c r="T134" i="13"/>
  <c r="B136" i="13"/>
  <c r="F130" i="13"/>
  <c r="I130" i="13" s="1"/>
  <c r="G134" i="13"/>
  <c r="N132" i="13"/>
  <c r="K132" i="13"/>
  <c r="M132" i="13"/>
  <c r="L132" i="13"/>
  <c r="J132" i="13"/>
  <c r="O131" i="13"/>
  <c r="P131" i="13" s="1"/>
  <c r="U131" i="13" s="1"/>
  <c r="H135" i="13" l="1"/>
  <c r="E136" i="13"/>
  <c r="D136" i="13"/>
  <c r="B137" i="13"/>
  <c r="C136" i="13"/>
  <c r="T135" i="13"/>
  <c r="G135" i="13"/>
  <c r="F131" i="13"/>
  <c r="I131" i="13" s="1"/>
  <c r="N133" i="13"/>
  <c r="M133" i="13"/>
  <c r="K133" i="13"/>
  <c r="L133" i="13"/>
  <c r="J133" i="13"/>
  <c r="O132" i="13"/>
  <c r="P132" i="13" s="1"/>
  <c r="U132" i="13" s="1"/>
  <c r="H136" i="13" l="1"/>
  <c r="E137" i="13"/>
  <c r="D137" i="13"/>
  <c r="H137" i="13" s="1"/>
  <c r="C137" i="13"/>
  <c r="T136" i="13"/>
  <c r="B138" i="13"/>
  <c r="F132" i="13"/>
  <c r="I132" i="13" s="1"/>
  <c r="G136" i="13"/>
  <c r="N134" i="13"/>
  <c r="M134" i="13"/>
  <c r="K134" i="13"/>
  <c r="J134" i="13"/>
  <c r="L134" i="13"/>
  <c r="O133" i="13"/>
  <c r="P133" i="13" s="1"/>
  <c r="U133" i="13" s="1"/>
  <c r="E138" i="13" l="1"/>
  <c r="D138" i="13"/>
  <c r="H138" i="13" s="1"/>
  <c r="B139" i="13"/>
  <c r="C138" i="13"/>
  <c r="T137" i="13"/>
  <c r="G137" i="13"/>
  <c r="F133" i="13"/>
  <c r="I133" i="13" s="1"/>
  <c r="N135" i="13"/>
  <c r="K135" i="13"/>
  <c r="L135" i="13"/>
  <c r="J135" i="13"/>
  <c r="M135" i="13"/>
  <c r="O134" i="13"/>
  <c r="P134" i="13" s="1"/>
  <c r="U134" i="13" s="1"/>
  <c r="E139" i="13" l="1"/>
  <c r="D139" i="13"/>
  <c r="H139" i="13" s="1"/>
  <c r="C139" i="13"/>
  <c r="T138" i="13"/>
  <c r="B140" i="13"/>
  <c r="G138" i="13"/>
  <c r="F134" i="13"/>
  <c r="I134" i="13" s="1"/>
  <c r="N136" i="13"/>
  <c r="K136" i="13"/>
  <c r="M136" i="13"/>
  <c r="J136" i="13"/>
  <c r="L136" i="13"/>
  <c r="O135" i="13"/>
  <c r="P135" i="13" s="1"/>
  <c r="U135" i="13" s="1"/>
  <c r="E140" i="13" l="1"/>
  <c r="D140" i="13"/>
  <c r="H140" i="13" s="1"/>
  <c r="B141" i="13"/>
  <c r="C140" i="13"/>
  <c r="T139" i="13"/>
  <c r="G139" i="13"/>
  <c r="F135" i="13"/>
  <c r="I135" i="13" s="1"/>
  <c r="N137" i="13"/>
  <c r="M137" i="13"/>
  <c r="L137" i="13"/>
  <c r="J137" i="13"/>
  <c r="K137" i="13"/>
  <c r="O136" i="13"/>
  <c r="P136" i="13" s="1"/>
  <c r="U136" i="13" s="1"/>
  <c r="E141" i="13" l="1"/>
  <c r="D141" i="13"/>
  <c r="H141" i="13"/>
  <c r="C141" i="13"/>
  <c r="T140" i="13"/>
  <c r="B142" i="13"/>
  <c r="G140" i="13"/>
  <c r="F136" i="13"/>
  <c r="I136" i="13" s="1"/>
  <c r="N138" i="13"/>
  <c r="L138" i="13"/>
  <c r="M138" i="13"/>
  <c r="K138" i="13"/>
  <c r="J138" i="13"/>
  <c r="O137" i="13"/>
  <c r="P137" i="13" s="1"/>
  <c r="U137" i="13" s="1"/>
  <c r="E142" i="13" l="1"/>
  <c r="D142" i="13"/>
  <c r="H142" i="13" s="1"/>
  <c r="B143" i="13"/>
  <c r="C142" i="13"/>
  <c r="T141" i="13"/>
  <c r="G141" i="13"/>
  <c r="F137" i="13"/>
  <c r="I137" i="13" s="1"/>
  <c r="N139" i="13"/>
  <c r="K139" i="13"/>
  <c r="M139" i="13"/>
  <c r="J139" i="13"/>
  <c r="L139" i="13"/>
  <c r="O138" i="13"/>
  <c r="P138" i="13" s="1"/>
  <c r="U138" i="13" s="1"/>
  <c r="E143" i="13" l="1"/>
  <c r="D143" i="13"/>
  <c r="C143" i="13"/>
  <c r="T142" i="13"/>
  <c r="B144" i="13"/>
  <c r="G142" i="13"/>
  <c r="F138" i="13"/>
  <c r="I138" i="13" s="1"/>
  <c r="N140" i="13"/>
  <c r="L140" i="13"/>
  <c r="M140" i="13"/>
  <c r="K140" i="13"/>
  <c r="J140" i="13"/>
  <c r="O139" i="13"/>
  <c r="P139" i="13" s="1"/>
  <c r="U139" i="13" s="1"/>
  <c r="H143" i="13" l="1"/>
  <c r="E144" i="13"/>
  <c r="D144" i="13"/>
  <c r="H144" i="13" s="1"/>
  <c r="B145" i="13"/>
  <c r="C144" i="13"/>
  <c r="T143" i="13"/>
  <c r="F139" i="13"/>
  <c r="I139" i="13" s="1"/>
  <c r="G143" i="13"/>
  <c r="N141" i="13"/>
  <c r="K141" i="13"/>
  <c r="M141" i="13"/>
  <c r="L141" i="13"/>
  <c r="J141" i="13"/>
  <c r="O140" i="13"/>
  <c r="P140" i="13" s="1"/>
  <c r="U140" i="13" s="1"/>
  <c r="E145" i="13" l="1"/>
  <c r="D145" i="13"/>
  <c r="H145" i="13" s="1"/>
  <c r="C145" i="13"/>
  <c r="T144" i="13"/>
  <c r="B146" i="13"/>
  <c r="F140" i="13"/>
  <c r="I140" i="13" s="1"/>
  <c r="G144" i="13"/>
  <c r="N142" i="13"/>
  <c r="L142" i="13"/>
  <c r="M142" i="13"/>
  <c r="K142" i="13"/>
  <c r="J142" i="13"/>
  <c r="O141" i="13"/>
  <c r="P141" i="13" s="1"/>
  <c r="U141" i="13" s="1"/>
  <c r="E146" i="13" l="1"/>
  <c r="D146" i="13"/>
  <c r="H146" i="13" s="1"/>
  <c r="B147" i="13"/>
  <c r="C146" i="13"/>
  <c r="T145" i="13"/>
  <c r="G145" i="13"/>
  <c r="F141" i="13"/>
  <c r="I141" i="13" s="1"/>
  <c r="N143" i="13"/>
  <c r="J143" i="13"/>
  <c r="K143" i="13"/>
  <c r="M143" i="13"/>
  <c r="L143" i="13"/>
  <c r="O142" i="13"/>
  <c r="P142" i="13" s="1"/>
  <c r="U142" i="13" s="1"/>
  <c r="E147" i="13" l="1"/>
  <c r="D147" i="13"/>
  <c r="H147" i="13" s="1"/>
  <c r="C147" i="13"/>
  <c r="T146" i="13"/>
  <c r="B148" i="13"/>
  <c r="G146" i="13"/>
  <c r="F142" i="13"/>
  <c r="I142" i="13" s="1"/>
  <c r="N144" i="13"/>
  <c r="M144" i="13"/>
  <c r="K144" i="13"/>
  <c r="L144" i="13"/>
  <c r="J144" i="13"/>
  <c r="O143" i="13"/>
  <c r="P143" i="13" s="1"/>
  <c r="U143" i="13" s="1"/>
  <c r="E148" i="13" l="1"/>
  <c r="D148" i="13"/>
  <c r="B149" i="13"/>
  <c r="C148" i="13"/>
  <c r="T147" i="13"/>
  <c r="G147" i="13"/>
  <c r="F143" i="13"/>
  <c r="I143" i="13" s="1"/>
  <c r="N145" i="13"/>
  <c r="K145" i="13"/>
  <c r="L145" i="13"/>
  <c r="M145" i="13"/>
  <c r="J145" i="13"/>
  <c r="O144" i="13"/>
  <c r="P144" i="13" s="1"/>
  <c r="U144" i="13" s="1"/>
  <c r="H148" i="13" l="1"/>
  <c r="E149" i="13"/>
  <c r="D149" i="13"/>
  <c r="H149" i="13" s="1"/>
  <c r="C149" i="13"/>
  <c r="T148" i="13"/>
  <c r="B150" i="13"/>
  <c r="G148" i="13"/>
  <c r="F144" i="13"/>
  <c r="I144" i="13" s="1"/>
  <c r="N146" i="13"/>
  <c r="L146" i="13"/>
  <c r="M146" i="13"/>
  <c r="J146" i="13"/>
  <c r="K146" i="13"/>
  <c r="O145" i="13"/>
  <c r="P145" i="13" s="1"/>
  <c r="U145" i="13" s="1"/>
  <c r="E150" i="13" l="1"/>
  <c r="D150" i="13"/>
  <c r="C150" i="13"/>
  <c r="T149" i="13"/>
  <c r="B151" i="13"/>
  <c r="G149" i="13"/>
  <c r="F145" i="13"/>
  <c r="I145" i="13" s="1"/>
  <c r="N147" i="13"/>
  <c r="K147" i="13"/>
  <c r="M147" i="13"/>
  <c r="L147" i="13"/>
  <c r="J147" i="13"/>
  <c r="O146" i="13"/>
  <c r="P146" i="13" s="1"/>
  <c r="U146" i="13" s="1"/>
  <c r="H150" i="13" l="1"/>
  <c r="E151" i="13"/>
  <c r="D151" i="13"/>
  <c r="B152" i="13"/>
  <c r="C151" i="13"/>
  <c r="T150" i="13"/>
  <c r="G150" i="13"/>
  <c r="F146" i="13"/>
  <c r="I146" i="13" s="1"/>
  <c r="N148" i="13"/>
  <c r="L148" i="13"/>
  <c r="M148" i="13"/>
  <c r="K148" i="13"/>
  <c r="J148" i="13"/>
  <c r="O147" i="13"/>
  <c r="P147" i="13" s="1"/>
  <c r="U147" i="13" s="1"/>
  <c r="H151" i="13" l="1"/>
  <c r="D152" i="13"/>
  <c r="E152" i="13"/>
  <c r="C152" i="13"/>
  <c r="T151" i="13"/>
  <c r="B153" i="13"/>
  <c r="F147" i="13"/>
  <c r="I147" i="13" s="1"/>
  <c r="G151" i="13"/>
  <c r="N149" i="13"/>
  <c r="J149" i="13"/>
  <c r="L149" i="13"/>
  <c r="K149" i="13"/>
  <c r="M149" i="13"/>
  <c r="O148" i="13"/>
  <c r="P148" i="13" s="1"/>
  <c r="U148" i="13" s="1"/>
  <c r="H152" i="13" l="1"/>
  <c r="E153" i="13"/>
  <c r="D153" i="13"/>
  <c r="H153" i="13" s="1"/>
  <c r="B154" i="13"/>
  <c r="C153" i="13"/>
  <c r="T152" i="13"/>
  <c r="G152" i="13"/>
  <c r="F148" i="13"/>
  <c r="I148" i="13" s="1"/>
  <c r="N150" i="13"/>
  <c r="K150" i="13"/>
  <c r="M150" i="13"/>
  <c r="L150" i="13"/>
  <c r="J150" i="13"/>
  <c r="O149" i="13"/>
  <c r="P149" i="13" s="1"/>
  <c r="U149" i="13" s="1"/>
  <c r="E154" i="13" l="1"/>
  <c r="D154" i="13"/>
  <c r="H154" i="13" s="1"/>
  <c r="C154" i="13"/>
  <c r="T153" i="13"/>
  <c r="B155" i="13"/>
  <c r="G153" i="13"/>
  <c r="F149" i="13"/>
  <c r="I149" i="13" s="1"/>
  <c r="N151" i="13"/>
  <c r="L151" i="13"/>
  <c r="M151" i="13"/>
  <c r="J151" i="13"/>
  <c r="K151" i="13"/>
  <c r="O150" i="13"/>
  <c r="P150" i="13" s="1"/>
  <c r="U150" i="13" s="1"/>
  <c r="E155" i="13" l="1"/>
  <c r="D155" i="13"/>
  <c r="H155" i="13" s="1"/>
  <c r="B156" i="13"/>
  <c r="C155" i="13"/>
  <c r="T154" i="13"/>
  <c r="G154" i="13"/>
  <c r="F150" i="13"/>
  <c r="I150" i="13" s="1"/>
  <c r="N152" i="13"/>
  <c r="L152" i="13"/>
  <c r="K152" i="13"/>
  <c r="M152" i="13"/>
  <c r="J152" i="13"/>
  <c r="O151" i="13"/>
  <c r="P151" i="13" s="1"/>
  <c r="U151" i="13" s="1"/>
  <c r="E156" i="13" l="1"/>
  <c r="D156" i="13"/>
  <c r="B157" i="13"/>
  <c r="C156" i="13"/>
  <c r="T155" i="13"/>
  <c r="F151" i="13"/>
  <c r="I151" i="13" s="1"/>
  <c r="G155" i="13"/>
  <c r="N153" i="13"/>
  <c r="M153" i="13"/>
  <c r="L153" i="13"/>
  <c r="K153" i="13"/>
  <c r="J153" i="13"/>
  <c r="O152" i="13"/>
  <c r="P152" i="13" s="1"/>
  <c r="U152" i="13" s="1"/>
  <c r="H156" i="13" l="1"/>
  <c r="E157" i="13"/>
  <c r="D157" i="13"/>
  <c r="C157" i="13"/>
  <c r="T156" i="13"/>
  <c r="B158" i="13"/>
  <c r="G156" i="13"/>
  <c r="F152" i="13"/>
  <c r="I152" i="13" s="1"/>
  <c r="N154" i="13"/>
  <c r="M154" i="13"/>
  <c r="K154" i="13"/>
  <c r="J154" i="13"/>
  <c r="L154" i="13"/>
  <c r="O153" i="13"/>
  <c r="P153" i="13" s="1"/>
  <c r="U153" i="13" s="1"/>
  <c r="H157" i="13" l="1"/>
  <c r="E158" i="13"/>
  <c r="D158" i="13"/>
  <c r="H158" i="13" s="1"/>
  <c r="B159" i="13"/>
  <c r="C158" i="13"/>
  <c r="T157" i="13"/>
  <c r="G157" i="13"/>
  <c r="F153" i="13"/>
  <c r="I153" i="13" s="1"/>
  <c r="N155" i="13"/>
  <c r="L155" i="13"/>
  <c r="J155" i="13"/>
  <c r="M155" i="13"/>
  <c r="K155" i="13"/>
  <c r="O154" i="13"/>
  <c r="P154" i="13" s="1"/>
  <c r="U154" i="13" s="1"/>
  <c r="E159" i="13" l="1"/>
  <c r="D159" i="13"/>
  <c r="C159" i="13"/>
  <c r="T158" i="13"/>
  <c r="B160" i="13"/>
  <c r="G158" i="13"/>
  <c r="F154" i="13"/>
  <c r="I154" i="13" s="1"/>
  <c r="N156" i="13"/>
  <c r="L156" i="13"/>
  <c r="K156" i="13"/>
  <c r="M156" i="13"/>
  <c r="J156" i="13"/>
  <c r="O155" i="13"/>
  <c r="P155" i="13" s="1"/>
  <c r="U155" i="13" s="1"/>
  <c r="H159" i="13" l="1"/>
  <c r="D160" i="13"/>
  <c r="E160" i="13"/>
  <c r="C160" i="13"/>
  <c r="T159" i="13"/>
  <c r="B161" i="13"/>
  <c r="G159" i="13"/>
  <c r="F155" i="13"/>
  <c r="I155" i="13" s="1"/>
  <c r="N157" i="13"/>
  <c r="L157" i="13"/>
  <c r="M157" i="13"/>
  <c r="J157" i="13"/>
  <c r="K157" i="13"/>
  <c r="O156" i="13"/>
  <c r="P156" i="13" s="1"/>
  <c r="U156" i="13" s="1"/>
  <c r="H160" i="13" l="1"/>
  <c r="E161" i="13"/>
  <c r="D161" i="13"/>
  <c r="H161" i="13" s="1"/>
  <c r="C161" i="13"/>
  <c r="T160" i="13"/>
  <c r="B162" i="13"/>
  <c r="G160" i="13"/>
  <c r="F156" i="13"/>
  <c r="I156" i="13" s="1"/>
  <c r="N158" i="13"/>
  <c r="K158" i="13"/>
  <c r="M158" i="13"/>
  <c r="L158" i="13"/>
  <c r="J158" i="13"/>
  <c r="O157" i="13"/>
  <c r="P157" i="13" s="1"/>
  <c r="U157" i="13" s="1"/>
  <c r="E162" i="13" l="1"/>
  <c r="D162" i="13"/>
  <c r="H162" i="13" s="1"/>
  <c r="B163" i="13"/>
  <c r="C162" i="13"/>
  <c r="T161" i="13"/>
  <c r="F157" i="13"/>
  <c r="I157" i="13" s="1"/>
  <c r="G161" i="13"/>
  <c r="N159" i="13"/>
  <c r="L159" i="13"/>
  <c r="M159" i="13"/>
  <c r="J159" i="13"/>
  <c r="K159" i="13"/>
  <c r="O158" i="13"/>
  <c r="P158" i="13" s="1"/>
  <c r="U158" i="13" s="1"/>
  <c r="E163" i="13" l="1"/>
  <c r="D163" i="13"/>
  <c r="C163" i="13"/>
  <c r="T162" i="13"/>
  <c r="B164" i="13"/>
  <c r="G162" i="13"/>
  <c r="F158" i="13"/>
  <c r="I158" i="13" s="1"/>
  <c r="N160" i="13"/>
  <c r="L160" i="13"/>
  <c r="K160" i="13"/>
  <c r="M160" i="13"/>
  <c r="J160" i="13"/>
  <c r="O159" i="13"/>
  <c r="P159" i="13" s="1"/>
  <c r="U159" i="13" s="1"/>
  <c r="H163" i="13" l="1"/>
  <c r="E164" i="13"/>
  <c r="D164" i="13"/>
  <c r="H164" i="13" s="1"/>
  <c r="B165" i="13"/>
  <c r="C164" i="13"/>
  <c r="T163" i="13"/>
  <c r="G163" i="13"/>
  <c r="F159" i="13"/>
  <c r="I159" i="13" s="1"/>
  <c r="N161" i="13"/>
  <c r="K161" i="13"/>
  <c r="M161" i="13"/>
  <c r="J161" i="13"/>
  <c r="L161" i="13"/>
  <c r="O160" i="13"/>
  <c r="P160" i="13" s="1"/>
  <c r="U160" i="13" s="1"/>
  <c r="E165" i="13" l="1"/>
  <c r="D165" i="13"/>
  <c r="C165" i="13"/>
  <c r="T164" i="13"/>
  <c r="B166" i="13"/>
  <c r="F160" i="13"/>
  <c r="I160" i="13" s="1"/>
  <c r="G164" i="13"/>
  <c r="N162" i="13"/>
  <c r="L162" i="13"/>
  <c r="M162" i="13"/>
  <c r="K162" i="13"/>
  <c r="J162" i="13"/>
  <c r="O161" i="13"/>
  <c r="P161" i="13" s="1"/>
  <c r="U161" i="13" s="1"/>
  <c r="H165" i="13" l="1"/>
  <c r="E166" i="13"/>
  <c r="D166" i="13"/>
  <c r="H166" i="13" s="1"/>
  <c r="B167" i="13"/>
  <c r="C166" i="13"/>
  <c r="T165" i="13"/>
  <c r="G165" i="13"/>
  <c r="F161" i="13"/>
  <c r="I161" i="13" s="1"/>
  <c r="N163" i="13"/>
  <c r="M163" i="13"/>
  <c r="K163" i="13"/>
  <c r="L163" i="13"/>
  <c r="J163" i="13"/>
  <c r="O162" i="13"/>
  <c r="P162" i="13" s="1"/>
  <c r="U162" i="13" s="1"/>
  <c r="E167" i="13" l="1"/>
  <c r="D167" i="13"/>
  <c r="C167" i="13"/>
  <c r="T166" i="13"/>
  <c r="B168" i="13"/>
  <c r="G166" i="13"/>
  <c r="F162" i="13"/>
  <c r="I162" i="13" s="1"/>
  <c r="N164" i="13"/>
  <c r="M164" i="13"/>
  <c r="K164" i="13"/>
  <c r="L164" i="13"/>
  <c r="J164" i="13"/>
  <c r="O163" i="13"/>
  <c r="P163" i="13" s="1"/>
  <c r="U163" i="13" s="1"/>
  <c r="H167" i="13" l="1"/>
  <c r="D168" i="13"/>
  <c r="E168" i="13"/>
  <c r="C168" i="13"/>
  <c r="T167" i="13"/>
  <c r="B169" i="13"/>
  <c r="G167" i="13"/>
  <c r="F163" i="13"/>
  <c r="I163" i="13" s="1"/>
  <c r="N165" i="13"/>
  <c r="K165" i="13"/>
  <c r="J165" i="13"/>
  <c r="L165" i="13"/>
  <c r="M165" i="13"/>
  <c r="O164" i="13"/>
  <c r="P164" i="13" s="1"/>
  <c r="U164" i="13" s="1"/>
  <c r="H168" i="13" l="1"/>
  <c r="E169" i="13"/>
  <c r="D169" i="13"/>
  <c r="H169" i="13" s="1"/>
  <c r="C169" i="13"/>
  <c r="T168" i="13"/>
  <c r="B170" i="13"/>
  <c r="G168" i="13"/>
  <c r="F164" i="13"/>
  <c r="I164" i="13" s="1"/>
  <c r="N166" i="13"/>
  <c r="L166" i="13"/>
  <c r="M166" i="13"/>
  <c r="J166" i="13"/>
  <c r="K166" i="13"/>
  <c r="O165" i="13"/>
  <c r="P165" i="13" s="1"/>
  <c r="U165" i="13" s="1"/>
  <c r="E170" i="13" l="1"/>
  <c r="D170" i="13"/>
  <c r="H170" i="13" s="1"/>
  <c r="B171" i="13"/>
  <c r="C170" i="13"/>
  <c r="T169" i="13"/>
  <c r="G169" i="13"/>
  <c r="F165" i="13"/>
  <c r="I165" i="13" s="1"/>
  <c r="N167" i="13"/>
  <c r="K167" i="13"/>
  <c r="J167" i="13"/>
  <c r="M167" i="13"/>
  <c r="L167" i="13"/>
  <c r="O166" i="13"/>
  <c r="P166" i="13" s="1"/>
  <c r="U166" i="13" s="1"/>
  <c r="E171" i="13" l="1"/>
  <c r="D171" i="13"/>
  <c r="H171" i="13" s="1"/>
  <c r="C171" i="13"/>
  <c r="T170" i="13"/>
  <c r="B172" i="13"/>
  <c r="G170" i="13"/>
  <c r="F166" i="13"/>
  <c r="I166" i="13" s="1"/>
  <c r="N168" i="13"/>
  <c r="K168" i="13"/>
  <c r="L168" i="13"/>
  <c r="M168" i="13"/>
  <c r="J168" i="13"/>
  <c r="O167" i="13"/>
  <c r="P167" i="13" s="1"/>
  <c r="U167" i="13" s="1"/>
  <c r="E172" i="13" l="1"/>
  <c r="D172" i="13"/>
  <c r="H172" i="13" s="1"/>
  <c r="B173" i="13"/>
  <c r="C172" i="13"/>
  <c r="T171" i="13"/>
  <c r="G171" i="13"/>
  <c r="F167" i="13"/>
  <c r="I167" i="13" s="1"/>
  <c r="N169" i="13"/>
  <c r="L169" i="13"/>
  <c r="M169" i="13"/>
  <c r="K169" i="13"/>
  <c r="J169" i="13"/>
  <c r="O168" i="13"/>
  <c r="P168" i="13" s="1"/>
  <c r="U168" i="13" s="1"/>
  <c r="E173" i="13" l="1"/>
  <c r="D173" i="13"/>
  <c r="H173" i="13" s="1"/>
  <c r="C173" i="13"/>
  <c r="T172" i="13"/>
  <c r="B174" i="13"/>
  <c r="G172" i="13"/>
  <c r="F168" i="13"/>
  <c r="I168" i="13" s="1"/>
  <c r="N170" i="13"/>
  <c r="L170" i="13"/>
  <c r="J170" i="13"/>
  <c r="M170" i="13"/>
  <c r="K170" i="13"/>
  <c r="O169" i="13"/>
  <c r="P169" i="13" s="1"/>
  <c r="U169" i="13" s="1"/>
  <c r="E174" i="13" l="1"/>
  <c r="D174" i="13"/>
  <c r="B175" i="13"/>
  <c r="C174" i="13"/>
  <c r="T173" i="13"/>
  <c r="G173" i="13"/>
  <c r="F169" i="13"/>
  <c r="I169" i="13" s="1"/>
  <c r="N171" i="13"/>
  <c r="L171" i="13"/>
  <c r="K171" i="13"/>
  <c r="M171" i="13"/>
  <c r="J171" i="13"/>
  <c r="O170" i="13"/>
  <c r="P170" i="13" s="1"/>
  <c r="U170" i="13" s="1"/>
  <c r="H174" i="13" l="1"/>
  <c r="E175" i="13"/>
  <c r="D175" i="13"/>
  <c r="C175" i="13"/>
  <c r="T174" i="13"/>
  <c r="B176" i="13"/>
  <c r="G174" i="13"/>
  <c r="F170" i="13"/>
  <c r="I170" i="13" s="1"/>
  <c r="N172" i="13"/>
  <c r="M172" i="13"/>
  <c r="K172" i="13"/>
  <c r="L172" i="13"/>
  <c r="J172" i="13"/>
  <c r="O171" i="13"/>
  <c r="P171" i="13" s="1"/>
  <c r="U171" i="13" s="1"/>
  <c r="H175" i="13" l="1"/>
  <c r="D176" i="13"/>
  <c r="E176" i="13"/>
  <c r="H176" i="13" s="1"/>
  <c r="B177" i="13"/>
  <c r="C176" i="13"/>
  <c r="T175" i="13"/>
  <c r="G175" i="13"/>
  <c r="F171" i="13"/>
  <c r="I171" i="13" s="1"/>
  <c r="N173" i="13"/>
  <c r="J173" i="13"/>
  <c r="L173" i="13"/>
  <c r="K173" i="13"/>
  <c r="M173" i="13"/>
  <c r="O172" i="13"/>
  <c r="P172" i="13" s="1"/>
  <c r="U172" i="13" s="1"/>
  <c r="E177" i="13" l="1"/>
  <c r="D177" i="13"/>
  <c r="H177" i="13" s="1"/>
  <c r="C177" i="13"/>
  <c r="T176" i="13"/>
  <c r="B178" i="13"/>
  <c r="G176" i="13"/>
  <c r="F172" i="13"/>
  <c r="I172" i="13" s="1"/>
  <c r="N174" i="13"/>
  <c r="M174" i="13"/>
  <c r="J174" i="13"/>
  <c r="K174" i="13"/>
  <c r="L174" i="13"/>
  <c r="O173" i="13"/>
  <c r="P173" i="13" s="1"/>
  <c r="U173" i="13" s="1"/>
  <c r="E178" i="13" l="1"/>
  <c r="D178" i="13"/>
  <c r="H178" i="13" s="1"/>
  <c r="B179" i="13"/>
  <c r="C178" i="13"/>
  <c r="T177" i="13"/>
  <c r="G177" i="13"/>
  <c r="F173" i="13"/>
  <c r="I173" i="13" s="1"/>
  <c r="N175" i="13"/>
  <c r="K175" i="13"/>
  <c r="L175" i="13"/>
  <c r="J175" i="13"/>
  <c r="M175" i="13"/>
  <c r="O174" i="13"/>
  <c r="P174" i="13" s="1"/>
  <c r="U174" i="13" s="1"/>
  <c r="E179" i="13" l="1"/>
  <c r="D179" i="13"/>
  <c r="H179" i="13" s="1"/>
  <c r="C179" i="13"/>
  <c r="T178" i="13"/>
  <c r="B180" i="13"/>
  <c r="G178" i="13"/>
  <c r="F174" i="13"/>
  <c r="I174" i="13" s="1"/>
  <c r="N176" i="13"/>
  <c r="J176" i="13"/>
  <c r="K176" i="13"/>
  <c r="M176" i="13"/>
  <c r="L176" i="13"/>
  <c r="O175" i="13"/>
  <c r="P175" i="13" s="1"/>
  <c r="U175" i="13" s="1"/>
  <c r="E180" i="13" l="1"/>
  <c r="D180" i="13"/>
  <c r="H180" i="13" s="1"/>
  <c r="B181" i="13"/>
  <c r="C180" i="13"/>
  <c r="T179" i="13"/>
  <c r="G179" i="13"/>
  <c r="F175" i="13"/>
  <c r="I175" i="13" s="1"/>
  <c r="N177" i="13"/>
  <c r="K177" i="13"/>
  <c r="L177" i="13"/>
  <c r="M177" i="13"/>
  <c r="J177" i="13"/>
  <c r="O176" i="13"/>
  <c r="P176" i="13" s="1"/>
  <c r="U176" i="13" s="1"/>
  <c r="E181" i="13" l="1"/>
  <c r="D181" i="13"/>
  <c r="H181" i="13" s="1"/>
  <c r="C181" i="13"/>
  <c r="T180" i="13"/>
  <c r="B182" i="13"/>
  <c r="F176" i="13"/>
  <c r="I176" i="13" s="1"/>
  <c r="G180" i="13"/>
  <c r="N178" i="13"/>
  <c r="K178" i="13"/>
  <c r="L178" i="13"/>
  <c r="J178" i="13"/>
  <c r="M178" i="13"/>
  <c r="O177" i="13"/>
  <c r="P177" i="13" s="1"/>
  <c r="U177" i="13" s="1"/>
  <c r="E182" i="13" l="1"/>
  <c r="D182" i="13"/>
  <c r="B183" i="13"/>
  <c r="C182" i="13"/>
  <c r="T181" i="13"/>
  <c r="F177" i="13"/>
  <c r="I177" i="13" s="1"/>
  <c r="G181" i="13"/>
  <c r="N179" i="13"/>
  <c r="L179" i="13"/>
  <c r="M179" i="13"/>
  <c r="J179" i="13"/>
  <c r="K179" i="13"/>
  <c r="O178" i="13"/>
  <c r="P178" i="13" s="1"/>
  <c r="U178" i="13" s="1"/>
  <c r="H182" i="13" l="1"/>
  <c r="E183" i="13"/>
  <c r="D183" i="13"/>
  <c r="C183" i="13"/>
  <c r="T182" i="13"/>
  <c r="B184" i="13"/>
  <c r="G182" i="13"/>
  <c r="F178" i="13"/>
  <c r="I178" i="13" s="1"/>
  <c r="N180" i="13"/>
  <c r="K180" i="13"/>
  <c r="M180" i="13"/>
  <c r="L180" i="13"/>
  <c r="J180" i="13"/>
  <c r="O179" i="13"/>
  <c r="P179" i="13" s="1"/>
  <c r="U179" i="13" s="1"/>
  <c r="H183" i="13" l="1"/>
  <c r="E184" i="13"/>
  <c r="D184" i="13"/>
  <c r="H184" i="13" s="1"/>
  <c r="B185" i="13"/>
  <c r="C184" i="13"/>
  <c r="T183" i="13"/>
  <c r="G183" i="13"/>
  <c r="F179" i="13"/>
  <c r="I179" i="13" s="1"/>
  <c r="N181" i="13"/>
  <c r="J181" i="13"/>
  <c r="M181" i="13"/>
  <c r="L181" i="13"/>
  <c r="K181" i="13"/>
  <c r="O180" i="13"/>
  <c r="P180" i="13" s="1"/>
  <c r="U180" i="13" s="1"/>
  <c r="E185" i="13" l="1"/>
  <c r="D185" i="13"/>
  <c r="H185" i="13" s="1"/>
  <c r="C185" i="13"/>
  <c r="T184" i="13"/>
  <c r="B186" i="13"/>
  <c r="F180" i="13"/>
  <c r="I180" i="13" s="1"/>
  <c r="G184" i="13"/>
  <c r="N182" i="13"/>
  <c r="L182" i="13"/>
  <c r="M182" i="13"/>
  <c r="J182" i="13"/>
  <c r="K182" i="13"/>
  <c r="O181" i="13"/>
  <c r="P181" i="13" s="1"/>
  <c r="U181" i="13" s="1"/>
  <c r="E186" i="13" l="1"/>
  <c r="D186" i="13"/>
  <c r="H186" i="13" s="1"/>
  <c r="B187" i="13"/>
  <c r="C186" i="13"/>
  <c r="T185" i="13"/>
  <c r="G185" i="13"/>
  <c r="F181" i="13"/>
  <c r="I181" i="13" s="1"/>
  <c r="N183" i="13"/>
  <c r="M183" i="13"/>
  <c r="K183" i="13"/>
  <c r="L183" i="13"/>
  <c r="J183" i="13"/>
  <c r="O182" i="13"/>
  <c r="P182" i="13" s="1"/>
  <c r="U182" i="13" s="1"/>
  <c r="E187" i="13" l="1"/>
  <c r="D187" i="13"/>
  <c r="C187" i="13"/>
  <c r="T186" i="13"/>
  <c r="B188" i="13"/>
  <c r="G186" i="13"/>
  <c r="F182" i="13"/>
  <c r="I182" i="13" s="1"/>
  <c r="N184" i="13"/>
  <c r="M184" i="13"/>
  <c r="L184" i="13"/>
  <c r="K184" i="13"/>
  <c r="J184" i="13"/>
  <c r="O183" i="13"/>
  <c r="P183" i="13" s="1"/>
  <c r="U183" i="13" s="1"/>
  <c r="H187" i="13" l="1"/>
  <c r="E188" i="13"/>
  <c r="D188" i="13"/>
  <c r="B189" i="13"/>
  <c r="C188" i="13"/>
  <c r="T187" i="13"/>
  <c r="G187" i="13"/>
  <c r="F183" i="13"/>
  <c r="I183" i="13" s="1"/>
  <c r="N185" i="13"/>
  <c r="L185" i="13"/>
  <c r="M185" i="13"/>
  <c r="K185" i="13"/>
  <c r="J185" i="13"/>
  <c r="O184" i="13"/>
  <c r="P184" i="13" s="1"/>
  <c r="U184" i="13" s="1"/>
  <c r="H188" i="13" l="1"/>
  <c r="E189" i="13"/>
  <c r="D189" i="13"/>
  <c r="C189" i="13"/>
  <c r="T188" i="13"/>
  <c r="B190" i="13"/>
  <c r="G188" i="13"/>
  <c r="F184" i="13"/>
  <c r="I184" i="13" s="1"/>
  <c r="N186" i="13"/>
  <c r="M186" i="13"/>
  <c r="L186" i="13"/>
  <c r="J186" i="13"/>
  <c r="K186" i="13"/>
  <c r="O185" i="13"/>
  <c r="P185" i="13" s="1"/>
  <c r="U185" i="13" s="1"/>
  <c r="H189" i="13" l="1"/>
  <c r="E190" i="13"/>
  <c r="D190" i="13"/>
  <c r="H190" i="13" s="1"/>
  <c r="B191" i="13"/>
  <c r="C190" i="13"/>
  <c r="T189" i="13"/>
  <c r="G189" i="13"/>
  <c r="F185" i="13"/>
  <c r="I185" i="13" s="1"/>
  <c r="N187" i="13"/>
  <c r="M187" i="13"/>
  <c r="L187" i="13"/>
  <c r="K187" i="13"/>
  <c r="J187" i="13"/>
  <c r="O186" i="13"/>
  <c r="P186" i="13" s="1"/>
  <c r="U186" i="13" s="1"/>
  <c r="E191" i="13" l="1"/>
  <c r="D191" i="13"/>
  <c r="H191" i="13" s="1"/>
  <c r="C191" i="13"/>
  <c r="T190" i="13"/>
  <c r="B192" i="13"/>
  <c r="G190" i="13"/>
  <c r="F186" i="13"/>
  <c r="I186" i="13" s="1"/>
  <c r="N188" i="13"/>
  <c r="L188" i="13"/>
  <c r="M188" i="13"/>
  <c r="J188" i="13"/>
  <c r="K188" i="13"/>
  <c r="O187" i="13"/>
  <c r="P187" i="13" s="1"/>
  <c r="U187" i="13" s="1"/>
  <c r="D192" i="13" l="1"/>
  <c r="E192" i="13"/>
  <c r="B193" i="13"/>
  <c r="C192" i="13"/>
  <c r="T191" i="13"/>
  <c r="G191" i="13"/>
  <c r="F187" i="13"/>
  <c r="I187" i="13" s="1"/>
  <c r="N189" i="13"/>
  <c r="M189" i="13"/>
  <c r="J189" i="13"/>
  <c r="L189" i="13"/>
  <c r="K189" i="13"/>
  <c r="O188" i="13"/>
  <c r="P188" i="13" s="1"/>
  <c r="U188" i="13" s="1"/>
  <c r="H192" i="13" l="1"/>
  <c r="E193" i="13"/>
  <c r="D193" i="13"/>
  <c r="H193" i="13" s="1"/>
  <c r="C193" i="13"/>
  <c r="T192" i="13"/>
  <c r="B194" i="13"/>
  <c r="G192" i="13"/>
  <c r="F188" i="13"/>
  <c r="I188" i="13" s="1"/>
  <c r="N190" i="13"/>
  <c r="M190" i="13"/>
  <c r="L190" i="13"/>
  <c r="K190" i="13"/>
  <c r="J190" i="13"/>
  <c r="O189" i="13"/>
  <c r="P189" i="13" s="1"/>
  <c r="U189" i="13" s="1"/>
  <c r="E194" i="13" l="1"/>
  <c r="D194" i="13"/>
  <c r="H194" i="13" s="1"/>
  <c r="B195" i="13"/>
  <c r="C194" i="13"/>
  <c r="T193" i="13"/>
  <c r="G193" i="13"/>
  <c r="F189" i="13"/>
  <c r="I189" i="13" s="1"/>
  <c r="N191" i="13"/>
  <c r="L191" i="13"/>
  <c r="K191" i="13"/>
  <c r="M191" i="13"/>
  <c r="J191" i="13"/>
  <c r="O190" i="13"/>
  <c r="P190" i="13" s="1"/>
  <c r="U190" i="13" s="1"/>
  <c r="E195" i="13" l="1"/>
  <c r="D195" i="13"/>
  <c r="H195" i="13" s="1"/>
  <c r="C195" i="13"/>
  <c r="T194" i="13"/>
  <c r="B196" i="13"/>
  <c r="G194" i="13"/>
  <c r="F190" i="13"/>
  <c r="I190" i="13" s="1"/>
  <c r="N192" i="13"/>
  <c r="M192" i="13"/>
  <c r="K192" i="13"/>
  <c r="L192" i="13"/>
  <c r="J192" i="13"/>
  <c r="O191" i="13"/>
  <c r="P191" i="13" s="1"/>
  <c r="U191" i="13" s="1"/>
  <c r="E196" i="13" l="1"/>
  <c r="D196" i="13"/>
  <c r="H196" i="13" s="1"/>
  <c r="B197" i="13"/>
  <c r="C196" i="13"/>
  <c r="T195" i="13"/>
  <c r="G195" i="13"/>
  <c r="F191" i="13"/>
  <c r="I191" i="13" s="1"/>
  <c r="N193" i="13"/>
  <c r="M193" i="13"/>
  <c r="L193" i="13"/>
  <c r="K193" i="13"/>
  <c r="J193" i="13"/>
  <c r="O192" i="13"/>
  <c r="P192" i="13" s="1"/>
  <c r="U192" i="13" s="1"/>
  <c r="E197" i="13" l="1"/>
  <c r="D197" i="13"/>
  <c r="H197" i="13" s="1"/>
  <c r="C197" i="13"/>
  <c r="T196" i="13"/>
  <c r="B198" i="13"/>
  <c r="G196" i="13"/>
  <c r="F192" i="13"/>
  <c r="I192" i="13" s="1"/>
  <c r="N194" i="13"/>
  <c r="M194" i="13"/>
  <c r="K194" i="13"/>
  <c r="J194" i="13"/>
  <c r="L194" i="13"/>
  <c r="O193" i="13"/>
  <c r="P193" i="13" s="1"/>
  <c r="U193" i="13" s="1"/>
  <c r="E198" i="13" l="1"/>
  <c r="D198" i="13"/>
  <c r="C198" i="13"/>
  <c r="T197" i="13"/>
  <c r="B199" i="13"/>
  <c r="G197" i="13"/>
  <c r="F193" i="13"/>
  <c r="I193" i="13" s="1"/>
  <c r="N195" i="13"/>
  <c r="M195" i="13"/>
  <c r="L195" i="13"/>
  <c r="K195" i="13"/>
  <c r="J195" i="13"/>
  <c r="O194" i="13"/>
  <c r="P194" i="13" s="1"/>
  <c r="U194" i="13" s="1"/>
  <c r="H198" i="13" l="1"/>
  <c r="E199" i="13"/>
  <c r="D199" i="13"/>
  <c r="B200" i="13"/>
  <c r="C199" i="13"/>
  <c r="T198" i="13"/>
  <c r="G198" i="13"/>
  <c r="F194" i="13"/>
  <c r="I194" i="13" s="1"/>
  <c r="N196" i="13"/>
  <c r="L196" i="13"/>
  <c r="M196" i="13"/>
  <c r="K196" i="13"/>
  <c r="J196" i="13"/>
  <c r="O195" i="13"/>
  <c r="P195" i="13" s="1"/>
  <c r="U195" i="13" s="1"/>
  <c r="H199" i="13" l="1"/>
  <c r="E200" i="13"/>
  <c r="D200" i="13"/>
  <c r="H200" i="13" s="1"/>
  <c r="C200" i="13"/>
  <c r="T199" i="13"/>
  <c r="B201" i="13"/>
  <c r="G199" i="13"/>
  <c r="F195" i="13"/>
  <c r="I195" i="13" s="1"/>
  <c r="N197" i="13"/>
  <c r="M197" i="13"/>
  <c r="J197" i="13"/>
  <c r="L197" i="13"/>
  <c r="K197" i="13"/>
  <c r="O196" i="13"/>
  <c r="P196" i="13" s="1"/>
  <c r="U196" i="13" s="1"/>
  <c r="E201" i="13" l="1"/>
  <c r="D201" i="13"/>
  <c r="H201" i="13" s="1"/>
  <c r="B202" i="13"/>
  <c r="C201" i="13"/>
  <c r="T200" i="13"/>
  <c r="G200" i="13"/>
  <c r="F196" i="13"/>
  <c r="I196" i="13" s="1"/>
  <c r="N198" i="13"/>
  <c r="L198" i="13"/>
  <c r="K198" i="13"/>
  <c r="M198" i="13"/>
  <c r="J198" i="13"/>
  <c r="O197" i="13"/>
  <c r="P197" i="13" s="1"/>
  <c r="U197" i="13" s="1"/>
  <c r="E202" i="13" l="1"/>
  <c r="D202" i="13"/>
  <c r="H202" i="13" s="1"/>
  <c r="C202" i="13"/>
  <c r="T201" i="13"/>
  <c r="B203" i="13"/>
  <c r="G201" i="13"/>
  <c r="F197" i="13"/>
  <c r="I197" i="13" s="1"/>
  <c r="N199" i="13"/>
  <c r="L199" i="13"/>
  <c r="M199" i="13"/>
  <c r="K199" i="13"/>
  <c r="J199" i="13"/>
  <c r="O198" i="13"/>
  <c r="P198" i="13" s="1"/>
  <c r="U198" i="13" s="1"/>
  <c r="E203" i="13" l="1"/>
  <c r="D203" i="13"/>
  <c r="H203" i="13" s="1"/>
  <c r="B204" i="13"/>
  <c r="C203" i="13"/>
  <c r="T202" i="13"/>
  <c r="G202" i="13"/>
  <c r="F198" i="13"/>
  <c r="I198" i="13" s="1"/>
  <c r="N200" i="13"/>
  <c r="K200" i="13"/>
  <c r="M200" i="13"/>
  <c r="J200" i="13"/>
  <c r="L200" i="13"/>
  <c r="O199" i="13"/>
  <c r="P199" i="13" s="1"/>
  <c r="U199" i="13" s="1"/>
  <c r="E204" i="13" l="1"/>
  <c r="D204" i="13"/>
  <c r="H204" i="13" s="1"/>
  <c r="B205" i="13"/>
  <c r="C204" i="13"/>
  <c r="T203" i="13"/>
  <c r="G203" i="13"/>
  <c r="F199" i="13"/>
  <c r="I199" i="13" s="1"/>
  <c r="N201" i="13"/>
  <c r="L201" i="13"/>
  <c r="M201" i="13"/>
  <c r="K201" i="13"/>
  <c r="J201" i="13"/>
  <c r="O200" i="13"/>
  <c r="P200" i="13" s="1"/>
  <c r="U200" i="13" s="1"/>
  <c r="E205" i="13" l="1"/>
  <c r="D205" i="13"/>
  <c r="H205" i="13" s="1"/>
  <c r="C205" i="13"/>
  <c r="T204" i="13"/>
  <c r="B206" i="13"/>
  <c r="G204" i="13"/>
  <c r="F200" i="13"/>
  <c r="I200" i="13" s="1"/>
  <c r="N202" i="13"/>
  <c r="K202" i="13"/>
  <c r="M202" i="13"/>
  <c r="L202" i="13"/>
  <c r="J202" i="13"/>
  <c r="O201" i="13"/>
  <c r="P201" i="13" s="1"/>
  <c r="U201" i="13" s="1"/>
  <c r="E206" i="13" l="1"/>
  <c r="D206" i="13"/>
  <c r="H206" i="13" s="1"/>
  <c r="B207" i="13"/>
  <c r="C206" i="13"/>
  <c r="T205" i="13"/>
  <c r="G205" i="13"/>
  <c r="F201" i="13"/>
  <c r="I201" i="13" s="1"/>
  <c r="N203" i="13"/>
  <c r="M203" i="13"/>
  <c r="K203" i="13"/>
  <c r="J203" i="13"/>
  <c r="L203" i="13"/>
  <c r="O202" i="13"/>
  <c r="P202" i="13" s="1"/>
  <c r="U202" i="13" s="1"/>
  <c r="E207" i="13" l="1"/>
  <c r="D207" i="13"/>
  <c r="B208" i="13"/>
  <c r="C207" i="13"/>
  <c r="T206" i="13"/>
  <c r="G206" i="13"/>
  <c r="F202" i="13"/>
  <c r="I202" i="13" s="1"/>
  <c r="N204" i="13"/>
  <c r="K204" i="13"/>
  <c r="J204" i="13"/>
  <c r="L204" i="13"/>
  <c r="M204" i="13"/>
  <c r="O203" i="13"/>
  <c r="P203" i="13" s="1"/>
  <c r="U203" i="13" s="1"/>
  <c r="H207" i="13" l="1"/>
  <c r="E208" i="13"/>
  <c r="D208" i="13"/>
  <c r="H208" i="13" s="1"/>
  <c r="C208" i="13"/>
  <c r="T207" i="13"/>
  <c r="B209" i="13"/>
  <c r="G207" i="13"/>
  <c r="F203" i="13"/>
  <c r="I203" i="13" s="1"/>
  <c r="N205" i="13"/>
  <c r="L205" i="13"/>
  <c r="K205" i="13"/>
  <c r="J205" i="13"/>
  <c r="M205" i="13"/>
  <c r="O204" i="13"/>
  <c r="P204" i="13" s="1"/>
  <c r="U204" i="13" s="1"/>
  <c r="E209" i="13" l="1"/>
  <c r="D209" i="13"/>
  <c r="B210" i="13"/>
  <c r="C209" i="13"/>
  <c r="T208" i="13"/>
  <c r="G208" i="13"/>
  <c r="F204" i="13"/>
  <c r="I204" i="13" s="1"/>
  <c r="N206" i="13"/>
  <c r="L206" i="13"/>
  <c r="K206" i="13"/>
  <c r="M206" i="13"/>
  <c r="J206" i="13"/>
  <c r="O205" i="13"/>
  <c r="P205" i="13" s="1"/>
  <c r="U205" i="13" s="1"/>
  <c r="H209" i="13" l="1"/>
  <c r="E210" i="13"/>
  <c r="D210" i="13"/>
  <c r="C210" i="13"/>
  <c r="T209" i="13"/>
  <c r="B211" i="13"/>
  <c r="G209" i="13"/>
  <c r="F205" i="13"/>
  <c r="I205" i="13" s="1"/>
  <c r="N207" i="13"/>
  <c r="M207" i="13"/>
  <c r="K207" i="13"/>
  <c r="L207" i="13"/>
  <c r="J207" i="13"/>
  <c r="O206" i="13"/>
  <c r="P206" i="13" s="1"/>
  <c r="U206" i="13" s="1"/>
  <c r="H210" i="13" l="1"/>
  <c r="E211" i="13"/>
  <c r="D211" i="13"/>
  <c r="H211" i="13" s="1"/>
  <c r="B212" i="13"/>
  <c r="C211" i="13"/>
  <c r="T210" i="13"/>
  <c r="G210" i="13"/>
  <c r="F206" i="13"/>
  <c r="I206" i="13" s="1"/>
  <c r="N208" i="13"/>
  <c r="K208" i="13"/>
  <c r="M208" i="13"/>
  <c r="J208" i="13"/>
  <c r="L208" i="13"/>
  <c r="O207" i="13"/>
  <c r="P207" i="13" s="1"/>
  <c r="U207" i="13" s="1"/>
  <c r="E212" i="13" l="1"/>
  <c r="D212" i="13"/>
  <c r="H212" i="13" s="1"/>
  <c r="C212" i="13"/>
  <c r="T211" i="13"/>
  <c r="B213" i="13"/>
  <c r="G211" i="13"/>
  <c r="F207" i="13"/>
  <c r="I207" i="13" s="1"/>
  <c r="N209" i="13"/>
  <c r="L209" i="13"/>
  <c r="M209" i="13"/>
  <c r="K209" i="13"/>
  <c r="J209" i="13"/>
  <c r="O208" i="13"/>
  <c r="P208" i="13" s="1"/>
  <c r="U208" i="13" s="1"/>
  <c r="E213" i="13" l="1"/>
  <c r="D213" i="13"/>
  <c r="H213" i="13" s="1"/>
  <c r="B214" i="13"/>
  <c r="C213" i="13"/>
  <c r="T212" i="13"/>
  <c r="G212" i="13"/>
  <c r="F208" i="13"/>
  <c r="I208" i="13" s="1"/>
  <c r="N210" i="13"/>
  <c r="L210" i="13"/>
  <c r="M210" i="13"/>
  <c r="K210" i="13"/>
  <c r="J210" i="13"/>
  <c r="O209" i="13"/>
  <c r="P209" i="13" s="1"/>
  <c r="U209" i="13" s="1"/>
  <c r="E214" i="13" l="1"/>
  <c r="D214" i="13"/>
  <c r="H214" i="13" s="1"/>
  <c r="C214" i="13"/>
  <c r="T213" i="13"/>
  <c r="B215" i="13"/>
  <c r="G213" i="13"/>
  <c r="F209" i="13"/>
  <c r="I209" i="13" s="1"/>
  <c r="N211" i="13"/>
  <c r="K211" i="13"/>
  <c r="M211" i="13"/>
  <c r="L211" i="13"/>
  <c r="J211" i="13"/>
  <c r="O210" i="13"/>
  <c r="P210" i="13" s="1"/>
  <c r="U210" i="13" s="1"/>
  <c r="E215" i="13" l="1"/>
  <c r="D215" i="13"/>
  <c r="H215" i="13" s="1"/>
  <c r="B216" i="13"/>
  <c r="C215" i="13"/>
  <c r="T214" i="13"/>
  <c r="G214" i="13"/>
  <c r="F210" i="13"/>
  <c r="I210" i="13" s="1"/>
  <c r="N212" i="13"/>
  <c r="L212" i="13"/>
  <c r="M212" i="13"/>
  <c r="K212" i="13"/>
  <c r="J212" i="13"/>
  <c r="O211" i="13"/>
  <c r="P211" i="13" s="1"/>
  <c r="U211" i="13" s="1"/>
  <c r="D216" i="13" l="1"/>
  <c r="E216" i="13"/>
  <c r="H216" i="13" s="1"/>
  <c r="C216" i="13"/>
  <c r="T215" i="13"/>
  <c r="B217" i="13"/>
  <c r="G215" i="13"/>
  <c r="F211" i="13"/>
  <c r="I211" i="13" s="1"/>
  <c r="N213" i="13"/>
  <c r="J213" i="13"/>
  <c r="M213" i="13"/>
  <c r="K213" i="13"/>
  <c r="L213" i="13"/>
  <c r="O212" i="13"/>
  <c r="P212" i="13" s="1"/>
  <c r="U212" i="13" s="1"/>
  <c r="E217" i="13" l="1"/>
  <c r="D217" i="13"/>
  <c r="H217" i="13" s="1"/>
  <c r="B218" i="13"/>
  <c r="C217" i="13"/>
  <c r="T216" i="13"/>
  <c r="G216" i="13"/>
  <c r="F212" i="13"/>
  <c r="I212" i="13" s="1"/>
  <c r="N214" i="13"/>
  <c r="M214" i="13"/>
  <c r="K214" i="13"/>
  <c r="L214" i="13"/>
  <c r="J214" i="13"/>
  <c r="O213" i="13"/>
  <c r="P213" i="13" s="1"/>
  <c r="U213" i="13" s="1"/>
  <c r="E218" i="13" l="1"/>
  <c r="D218" i="13"/>
  <c r="C218" i="13"/>
  <c r="T217" i="13"/>
  <c r="B219" i="13"/>
  <c r="G217" i="13"/>
  <c r="F213" i="13"/>
  <c r="I213" i="13" s="1"/>
  <c r="N215" i="13"/>
  <c r="L215" i="13"/>
  <c r="K215" i="13"/>
  <c r="J215" i="13"/>
  <c r="M215" i="13"/>
  <c r="O214" i="13"/>
  <c r="P214" i="13" s="1"/>
  <c r="U214" i="13" s="1"/>
  <c r="H218" i="13" l="1"/>
  <c r="E219" i="13"/>
  <c r="D219" i="13"/>
  <c r="H219" i="13" s="1"/>
  <c r="B220" i="13"/>
  <c r="C219" i="13"/>
  <c r="T218" i="13"/>
  <c r="G218" i="13"/>
  <c r="F214" i="13"/>
  <c r="I214" i="13" s="1"/>
  <c r="N216" i="13"/>
  <c r="L216" i="13"/>
  <c r="M216" i="13"/>
  <c r="J216" i="13"/>
  <c r="K216" i="13"/>
  <c r="O215" i="13"/>
  <c r="P215" i="13" s="1"/>
  <c r="U215" i="13" s="1"/>
  <c r="E220" i="13" l="1"/>
  <c r="D220" i="13"/>
  <c r="H220" i="13" s="1"/>
  <c r="C220" i="13"/>
  <c r="T219" i="13"/>
  <c r="B221" i="13"/>
  <c r="G219" i="13"/>
  <c r="F215" i="13"/>
  <c r="I215" i="13" s="1"/>
  <c r="N217" i="13"/>
  <c r="L217" i="13"/>
  <c r="K217" i="13"/>
  <c r="M217" i="13"/>
  <c r="J217" i="13"/>
  <c r="O216" i="13"/>
  <c r="P216" i="13" s="1"/>
  <c r="U216" i="13" s="1"/>
  <c r="E221" i="13" l="1"/>
  <c r="D221" i="13"/>
  <c r="B222" i="13"/>
  <c r="C221" i="13"/>
  <c r="T220" i="13"/>
  <c r="G220" i="13"/>
  <c r="F216" i="13"/>
  <c r="I216" i="13" s="1"/>
  <c r="N218" i="13"/>
  <c r="L218" i="13"/>
  <c r="M218" i="13"/>
  <c r="K218" i="13"/>
  <c r="J218" i="13"/>
  <c r="O217" i="13"/>
  <c r="P217" i="13" s="1"/>
  <c r="U217" i="13" s="1"/>
  <c r="H221" i="13" l="1"/>
  <c r="E222" i="13"/>
  <c r="D222" i="13"/>
  <c r="H222" i="13" s="1"/>
  <c r="C222" i="13"/>
  <c r="T221" i="13"/>
  <c r="B223" i="13"/>
  <c r="G221" i="13"/>
  <c r="F217" i="13"/>
  <c r="I217" i="13" s="1"/>
  <c r="N219" i="13"/>
  <c r="K219" i="13"/>
  <c r="M219" i="13"/>
  <c r="L219" i="13"/>
  <c r="J219" i="13"/>
  <c r="O218" i="13"/>
  <c r="P218" i="13" s="1"/>
  <c r="U218" i="13" s="1"/>
  <c r="E223" i="13" l="1"/>
  <c r="D223" i="13"/>
  <c r="H223" i="13" s="1"/>
  <c r="B224" i="13"/>
  <c r="C223" i="13"/>
  <c r="T222" i="13"/>
  <c r="G222" i="13"/>
  <c r="F218" i="13"/>
  <c r="I218" i="13" s="1"/>
  <c r="N220" i="13"/>
  <c r="L220" i="13"/>
  <c r="M220" i="13"/>
  <c r="J220" i="13"/>
  <c r="K220" i="13"/>
  <c r="O219" i="13"/>
  <c r="P219" i="13" s="1"/>
  <c r="U219" i="13" s="1"/>
  <c r="D224" i="13" l="1"/>
  <c r="E224" i="13"/>
  <c r="C224" i="13"/>
  <c r="T223" i="13"/>
  <c r="B225" i="13"/>
  <c r="G223" i="13"/>
  <c r="F219" i="13"/>
  <c r="I219" i="13" s="1"/>
  <c r="N221" i="13"/>
  <c r="K221" i="13"/>
  <c r="M221" i="13"/>
  <c r="L221" i="13"/>
  <c r="J221" i="13"/>
  <c r="O220" i="13"/>
  <c r="P220" i="13" s="1"/>
  <c r="U220" i="13" s="1"/>
  <c r="H224" i="13" l="1"/>
  <c r="E225" i="13"/>
  <c r="D225" i="13"/>
  <c r="H225" i="13" s="1"/>
  <c r="B226" i="13"/>
  <c r="C225" i="13"/>
  <c r="T224" i="13"/>
  <c r="G224" i="13"/>
  <c r="F220" i="13"/>
  <c r="I220" i="13" s="1"/>
  <c r="N222" i="13"/>
  <c r="L222" i="13"/>
  <c r="M222" i="13"/>
  <c r="K222" i="13"/>
  <c r="J222" i="13"/>
  <c r="O221" i="13"/>
  <c r="P221" i="13" s="1"/>
  <c r="U221" i="13" s="1"/>
  <c r="E226" i="13" l="1"/>
  <c r="D226" i="13"/>
  <c r="H226" i="13" s="1"/>
  <c r="C226" i="13"/>
  <c r="T225" i="13"/>
  <c r="B227" i="13"/>
  <c r="G225" i="13"/>
  <c r="F221" i="13"/>
  <c r="I221" i="13" s="1"/>
  <c r="N223" i="13"/>
  <c r="M223" i="13"/>
  <c r="K223" i="13"/>
  <c r="L223" i="13"/>
  <c r="J223" i="13"/>
  <c r="O222" i="13"/>
  <c r="P222" i="13" s="1"/>
  <c r="U222" i="13" s="1"/>
  <c r="E227" i="13" l="1"/>
  <c r="D227" i="13"/>
  <c r="H227" i="13" s="1"/>
  <c r="B228" i="13"/>
  <c r="C227" i="13"/>
  <c r="T226" i="13"/>
  <c r="G226" i="13"/>
  <c r="F222" i="13"/>
  <c r="I222" i="13" s="1"/>
  <c r="N224" i="13"/>
  <c r="M224" i="13"/>
  <c r="K224" i="13"/>
  <c r="L224" i="13"/>
  <c r="J224" i="13"/>
  <c r="O223" i="13"/>
  <c r="P223" i="13" s="1"/>
  <c r="U223" i="13" s="1"/>
  <c r="E228" i="13" l="1"/>
  <c r="D228" i="13"/>
  <c r="B229" i="13"/>
  <c r="C228" i="13"/>
  <c r="T227" i="13"/>
  <c r="G227" i="13"/>
  <c r="F223" i="13"/>
  <c r="I223" i="13" s="1"/>
  <c r="N225" i="13"/>
  <c r="L225" i="13"/>
  <c r="J225" i="13"/>
  <c r="M225" i="13"/>
  <c r="K225" i="13"/>
  <c r="O224" i="13"/>
  <c r="P224" i="13" s="1"/>
  <c r="U224" i="13" s="1"/>
  <c r="H228" i="13" l="1"/>
  <c r="E229" i="13"/>
  <c r="D229" i="13"/>
  <c r="H229" i="13" s="1"/>
  <c r="C229" i="13"/>
  <c r="T228" i="13"/>
  <c r="B230" i="13"/>
  <c r="G228" i="13"/>
  <c r="F224" i="13"/>
  <c r="I224" i="13" s="1"/>
  <c r="N226" i="13"/>
  <c r="L226" i="13"/>
  <c r="K226" i="13"/>
  <c r="M226" i="13"/>
  <c r="J226" i="13"/>
  <c r="O225" i="13"/>
  <c r="P225" i="13" s="1"/>
  <c r="U225" i="13" s="1"/>
  <c r="E230" i="13" l="1"/>
  <c r="D230" i="13"/>
  <c r="H230" i="13" s="1"/>
  <c r="B231" i="13"/>
  <c r="C230" i="13"/>
  <c r="T229" i="13"/>
  <c r="G229" i="13"/>
  <c r="F225" i="13"/>
  <c r="I225" i="13" s="1"/>
  <c r="N227" i="13"/>
  <c r="L227" i="13"/>
  <c r="M227" i="13"/>
  <c r="J227" i="13"/>
  <c r="K227" i="13"/>
  <c r="O226" i="13"/>
  <c r="P226" i="13" s="1"/>
  <c r="U226" i="13" s="1"/>
  <c r="E231" i="13" l="1"/>
  <c r="D231" i="13"/>
  <c r="H231" i="13" s="1"/>
  <c r="C231" i="13"/>
  <c r="T230" i="13"/>
  <c r="B232" i="13"/>
  <c r="G230" i="13"/>
  <c r="F226" i="13"/>
  <c r="I226" i="13" s="1"/>
  <c r="N228" i="13"/>
  <c r="K228" i="13"/>
  <c r="M228" i="13"/>
  <c r="L228" i="13"/>
  <c r="J228" i="13"/>
  <c r="O227" i="13"/>
  <c r="P227" i="13" s="1"/>
  <c r="U227" i="13" s="1"/>
  <c r="D232" i="13" l="1"/>
  <c r="E232" i="13"/>
  <c r="B233" i="13"/>
  <c r="C232" i="13"/>
  <c r="T231" i="13"/>
  <c r="G231" i="13"/>
  <c r="F227" i="13"/>
  <c r="I227" i="13" s="1"/>
  <c r="N229" i="13"/>
  <c r="L229" i="13"/>
  <c r="M229" i="13"/>
  <c r="K229" i="13"/>
  <c r="J229" i="13"/>
  <c r="O228" i="13"/>
  <c r="P228" i="13" s="1"/>
  <c r="U228" i="13" s="1"/>
  <c r="H232" i="13" l="1"/>
  <c r="E233" i="13"/>
  <c r="D233" i="13"/>
  <c r="H233" i="13" s="1"/>
  <c r="C233" i="13"/>
  <c r="T232" i="13"/>
  <c r="B234" i="13"/>
  <c r="G232" i="13"/>
  <c r="F228" i="13"/>
  <c r="I228" i="13" s="1"/>
  <c r="N230" i="13"/>
  <c r="L230" i="13"/>
  <c r="M230" i="13"/>
  <c r="K230" i="13"/>
  <c r="J230" i="13"/>
  <c r="O229" i="13"/>
  <c r="P229" i="13" s="1"/>
  <c r="U229" i="13" s="1"/>
  <c r="E234" i="13" l="1"/>
  <c r="D234" i="13"/>
  <c r="B235" i="13"/>
  <c r="C234" i="13"/>
  <c r="T233" i="13"/>
  <c r="G233" i="13"/>
  <c r="F229" i="13"/>
  <c r="I229" i="13" s="1"/>
  <c r="N231" i="13"/>
  <c r="L231" i="13"/>
  <c r="M231" i="13"/>
  <c r="K231" i="13"/>
  <c r="J231" i="13"/>
  <c r="O230" i="13"/>
  <c r="P230" i="13" s="1"/>
  <c r="U230" i="13" s="1"/>
  <c r="H234" i="13" l="1"/>
  <c r="E235" i="13"/>
  <c r="D235" i="13"/>
  <c r="H235" i="13" s="1"/>
  <c r="C235" i="13"/>
  <c r="T234" i="13"/>
  <c r="B236" i="13"/>
  <c r="G234" i="13"/>
  <c r="F230" i="13"/>
  <c r="I230" i="13" s="1"/>
  <c r="N232" i="13"/>
  <c r="M232" i="13"/>
  <c r="L232" i="13"/>
  <c r="J232" i="13"/>
  <c r="K232" i="13"/>
  <c r="O231" i="13"/>
  <c r="P231" i="13" s="1"/>
  <c r="U231" i="13" s="1"/>
  <c r="E236" i="13" l="1"/>
  <c r="D236" i="13"/>
  <c r="H236" i="13"/>
  <c r="B237" i="13"/>
  <c r="C236" i="13"/>
  <c r="T235" i="13"/>
  <c r="G235" i="13"/>
  <c r="F231" i="13"/>
  <c r="I231" i="13" s="1"/>
  <c r="N233" i="13"/>
  <c r="M233" i="13"/>
  <c r="K233" i="13"/>
  <c r="J233" i="13"/>
  <c r="L233" i="13"/>
  <c r="O232" i="13"/>
  <c r="P232" i="13" s="1"/>
  <c r="U232" i="13" s="1"/>
  <c r="E237" i="13" l="1"/>
  <c r="D237" i="13"/>
  <c r="C237" i="13"/>
  <c r="T236" i="13"/>
  <c r="B238" i="13"/>
  <c r="G236" i="13"/>
  <c r="F232" i="13"/>
  <c r="I232" i="13" s="1"/>
  <c r="N234" i="13"/>
  <c r="M234" i="13"/>
  <c r="K234" i="13"/>
  <c r="L234" i="13"/>
  <c r="J234" i="13"/>
  <c r="O233" i="13"/>
  <c r="P233" i="13" s="1"/>
  <c r="U233" i="13" s="1"/>
  <c r="H237" i="13" l="1"/>
  <c r="E238" i="13"/>
  <c r="D238" i="13"/>
  <c r="H238" i="13" s="1"/>
  <c r="B239" i="13"/>
  <c r="C238" i="13"/>
  <c r="T237" i="13"/>
  <c r="G237" i="13"/>
  <c r="F233" i="13"/>
  <c r="I233" i="13" s="1"/>
  <c r="N235" i="13"/>
  <c r="M235" i="13"/>
  <c r="L235" i="13"/>
  <c r="J235" i="13"/>
  <c r="K235" i="13"/>
  <c r="O234" i="13"/>
  <c r="P234" i="13" s="1"/>
  <c r="U234" i="13" s="1"/>
  <c r="E239" i="13" l="1"/>
  <c r="D239" i="13"/>
  <c r="H239" i="13" s="1"/>
  <c r="C239" i="13"/>
  <c r="T238" i="13"/>
  <c r="B240" i="13"/>
  <c r="G238" i="13"/>
  <c r="F234" i="13"/>
  <c r="I234" i="13" s="1"/>
  <c r="N236" i="13"/>
  <c r="L236" i="13"/>
  <c r="M236" i="13"/>
  <c r="K236" i="13"/>
  <c r="J236" i="13"/>
  <c r="O235" i="13"/>
  <c r="P235" i="13" s="1"/>
  <c r="U235" i="13" s="1"/>
  <c r="D240" i="13" l="1"/>
  <c r="E240" i="13"/>
  <c r="H240" i="13" s="1"/>
  <c r="B241" i="13"/>
  <c r="C240" i="13"/>
  <c r="T239" i="13"/>
  <c r="G239" i="13"/>
  <c r="F235" i="13"/>
  <c r="I235" i="13" s="1"/>
  <c r="N237" i="13"/>
  <c r="K237" i="13"/>
  <c r="L237" i="13"/>
  <c r="J237" i="13"/>
  <c r="M237" i="13"/>
  <c r="O236" i="13"/>
  <c r="P236" i="13" s="1"/>
  <c r="U236" i="13" s="1"/>
  <c r="E241" i="13" l="1"/>
  <c r="D241" i="13"/>
  <c r="H241" i="13" s="1"/>
  <c r="B242" i="13"/>
  <c r="C241" i="13"/>
  <c r="T240" i="13"/>
  <c r="G240" i="13"/>
  <c r="F236" i="13"/>
  <c r="I236" i="13" s="1"/>
  <c r="N238" i="13"/>
  <c r="K238" i="13"/>
  <c r="L238" i="13"/>
  <c r="J238" i="13"/>
  <c r="M238" i="13"/>
  <c r="O237" i="13"/>
  <c r="P237" i="13" s="1"/>
  <c r="U237" i="13" s="1"/>
  <c r="E242" i="13" l="1"/>
  <c r="D242" i="13"/>
  <c r="H242" i="13" s="1"/>
  <c r="C242" i="13"/>
  <c r="T241" i="13"/>
  <c r="B243" i="13"/>
  <c r="F237" i="13"/>
  <c r="I237" i="13" s="1"/>
  <c r="G241" i="13"/>
  <c r="N239" i="13"/>
  <c r="L239" i="13"/>
  <c r="K239" i="13"/>
  <c r="M239" i="13"/>
  <c r="J239" i="13"/>
  <c r="O238" i="13"/>
  <c r="P238" i="13" s="1"/>
  <c r="U238" i="13" s="1"/>
  <c r="E243" i="13" l="1"/>
  <c r="D243" i="13"/>
  <c r="H243" i="13" s="1"/>
  <c r="B244" i="13"/>
  <c r="C243" i="13"/>
  <c r="T242" i="13"/>
  <c r="G242" i="13"/>
  <c r="F238" i="13"/>
  <c r="I238" i="13" s="1"/>
  <c r="N240" i="13"/>
  <c r="L240" i="13"/>
  <c r="J240" i="13"/>
  <c r="M240" i="13"/>
  <c r="K240" i="13"/>
  <c r="O239" i="13"/>
  <c r="P239" i="13" s="1"/>
  <c r="U239" i="13" s="1"/>
  <c r="E244" i="13" l="1"/>
  <c r="D244" i="13"/>
  <c r="H244" i="13" s="1"/>
  <c r="C244" i="13"/>
  <c r="T243" i="13"/>
  <c r="B245" i="13"/>
  <c r="G243" i="13"/>
  <c r="F239" i="13"/>
  <c r="I239" i="13" s="1"/>
  <c r="N241" i="13"/>
  <c r="M241" i="13"/>
  <c r="L241" i="13"/>
  <c r="J241" i="13"/>
  <c r="K241" i="13"/>
  <c r="O240" i="13"/>
  <c r="P240" i="13" s="1"/>
  <c r="U240" i="13" s="1"/>
  <c r="E245" i="13" l="1"/>
  <c r="D245" i="13"/>
  <c r="H245" i="13" s="1"/>
  <c r="B246" i="13"/>
  <c r="C245" i="13"/>
  <c r="T244" i="13"/>
  <c r="F240" i="13"/>
  <c r="I240" i="13" s="1"/>
  <c r="G244" i="13"/>
  <c r="N242" i="13"/>
  <c r="M242" i="13"/>
  <c r="K242" i="13"/>
  <c r="L242" i="13"/>
  <c r="J242" i="13"/>
  <c r="O241" i="13"/>
  <c r="P241" i="13" s="1"/>
  <c r="U241" i="13" s="1"/>
  <c r="E246" i="13" l="1"/>
  <c r="D246" i="13"/>
  <c r="H246" i="13" s="1"/>
  <c r="C246" i="13"/>
  <c r="T245" i="13"/>
  <c r="B247" i="13"/>
  <c r="G245" i="13"/>
  <c r="F241" i="13"/>
  <c r="I241" i="13" s="1"/>
  <c r="N243" i="13"/>
  <c r="M243" i="13"/>
  <c r="L243" i="13"/>
  <c r="K243" i="13"/>
  <c r="J243" i="13"/>
  <c r="O242" i="13"/>
  <c r="P242" i="13" s="1"/>
  <c r="U242" i="13" s="1"/>
  <c r="E247" i="13" l="1"/>
  <c r="D247" i="13"/>
  <c r="H247" i="13" s="1"/>
  <c r="B248" i="13"/>
  <c r="C247" i="13"/>
  <c r="T246" i="13"/>
  <c r="G246" i="13"/>
  <c r="F242" i="13"/>
  <c r="I242" i="13" s="1"/>
  <c r="N244" i="13"/>
  <c r="K244" i="13"/>
  <c r="L244" i="13"/>
  <c r="J244" i="13"/>
  <c r="M244" i="13"/>
  <c r="O243" i="13"/>
  <c r="P243" i="13" s="1"/>
  <c r="U243" i="13" s="1"/>
  <c r="D248" i="13" l="1"/>
  <c r="E248" i="13"/>
  <c r="C248" i="13"/>
  <c r="T247" i="13"/>
  <c r="B249" i="13"/>
  <c r="G247" i="13"/>
  <c r="F243" i="13"/>
  <c r="I243" i="13" s="1"/>
  <c r="N245" i="13"/>
  <c r="L245" i="13"/>
  <c r="K245" i="13"/>
  <c r="M245" i="13"/>
  <c r="J245" i="13"/>
  <c r="O244" i="13"/>
  <c r="P244" i="13" s="1"/>
  <c r="U244" i="13" s="1"/>
  <c r="H248" i="13" l="1"/>
  <c r="E249" i="13"/>
  <c r="D249" i="13"/>
  <c r="H249" i="13" s="1"/>
  <c r="B250" i="13"/>
  <c r="C249" i="13"/>
  <c r="T248" i="13"/>
  <c r="G248" i="13"/>
  <c r="F244" i="13"/>
  <c r="I244" i="13" s="1"/>
  <c r="N246" i="13"/>
  <c r="K246" i="13"/>
  <c r="L246" i="13"/>
  <c r="J246" i="13"/>
  <c r="M246" i="13"/>
  <c r="O245" i="13"/>
  <c r="P245" i="13" s="1"/>
  <c r="U245" i="13" s="1"/>
  <c r="E250" i="13" l="1"/>
  <c r="D250" i="13"/>
  <c r="H250" i="13" s="1"/>
  <c r="C250" i="13"/>
  <c r="T249" i="13"/>
  <c r="B251" i="13"/>
  <c r="G249" i="13"/>
  <c r="F245" i="13"/>
  <c r="I245" i="13" s="1"/>
  <c r="N247" i="13"/>
  <c r="K247" i="13"/>
  <c r="L247" i="13"/>
  <c r="M247" i="13"/>
  <c r="J247" i="13"/>
  <c r="O246" i="13"/>
  <c r="P246" i="13" s="1"/>
  <c r="U246" i="13" s="1"/>
  <c r="E251" i="13" l="1"/>
  <c r="D251" i="13"/>
  <c r="H251" i="13" s="1"/>
  <c r="B252" i="13"/>
  <c r="C251" i="13"/>
  <c r="T250" i="13"/>
  <c r="G250" i="13"/>
  <c r="F246" i="13"/>
  <c r="I246" i="13" s="1"/>
  <c r="N248" i="13"/>
  <c r="M248" i="13"/>
  <c r="L248" i="13"/>
  <c r="K248" i="13"/>
  <c r="J248" i="13"/>
  <c r="O247" i="13"/>
  <c r="P247" i="13" s="1"/>
  <c r="U247" i="13" s="1"/>
  <c r="E252" i="13" l="1"/>
  <c r="D252" i="13"/>
  <c r="H252" i="13" s="1"/>
  <c r="C252" i="13"/>
  <c r="T251" i="13"/>
  <c r="B253" i="13"/>
  <c r="G251" i="13"/>
  <c r="F247" i="13"/>
  <c r="I247" i="13" s="1"/>
  <c r="N249" i="13"/>
  <c r="L249" i="13"/>
  <c r="M249" i="13"/>
  <c r="J249" i="13"/>
  <c r="K249" i="13"/>
  <c r="O248" i="13"/>
  <c r="P248" i="13" s="1"/>
  <c r="U248" i="13" s="1"/>
  <c r="E253" i="13" l="1"/>
  <c r="D253" i="13"/>
  <c r="H253" i="13" s="1"/>
  <c r="B254" i="13"/>
  <c r="C253" i="13"/>
  <c r="T252" i="13"/>
  <c r="G252" i="13"/>
  <c r="F248" i="13"/>
  <c r="I248" i="13" s="1"/>
  <c r="N250" i="13"/>
  <c r="M250" i="13"/>
  <c r="K250" i="13"/>
  <c r="J250" i="13"/>
  <c r="L250" i="13"/>
  <c r="O249" i="13"/>
  <c r="P249" i="13" s="1"/>
  <c r="U249" i="13" s="1"/>
  <c r="E254" i="13" l="1"/>
  <c r="D254" i="13"/>
  <c r="H254" i="13" s="1"/>
  <c r="C254" i="13"/>
  <c r="T253" i="13"/>
  <c r="B255" i="13"/>
  <c r="G253" i="13"/>
  <c r="F249" i="13"/>
  <c r="I249" i="13" s="1"/>
  <c r="N251" i="13"/>
  <c r="M251" i="13"/>
  <c r="K251" i="13"/>
  <c r="L251" i="13"/>
  <c r="J251" i="13"/>
  <c r="O250" i="13"/>
  <c r="P250" i="13" s="1"/>
  <c r="U250" i="13" s="1"/>
  <c r="E255" i="13" l="1"/>
  <c r="D255" i="13"/>
  <c r="H255" i="13" s="1"/>
  <c r="B256" i="13"/>
  <c r="C255" i="13"/>
  <c r="T254" i="13"/>
  <c r="G254" i="13"/>
  <c r="F250" i="13"/>
  <c r="I250" i="13" s="1"/>
  <c r="N252" i="13"/>
  <c r="K252" i="13"/>
  <c r="M252" i="13"/>
  <c r="L252" i="13"/>
  <c r="J252" i="13"/>
  <c r="O251" i="13"/>
  <c r="P251" i="13" s="1"/>
  <c r="U251" i="13" s="1"/>
  <c r="D256" i="13" l="1"/>
  <c r="E256" i="13"/>
  <c r="H256" i="13" s="1"/>
  <c r="B257" i="13"/>
  <c r="C256" i="13"/>
  <c r="T255" i="13"/>
  <c r="G255" i="13"/>
  <c r="F251" i="13"/>
  <c r="I251" i="13" s="1"/>
  <c r="N253" i="13"/>
  <c r="M253" i="13"/>
  <c r="K253" i="13"/>
  <c r="L253" i="13"/>
  <c r="J253" i="13"/>
  <c r="O252" i="13"/>
  <c r="P252" i="13" s="1"/>
  <c r="U252" i="13" s="1"/>
  <c r="E257" i="13" l="1"/>
  <c r="D257" i="13"/>
  <c r="H257" i="13" s="1"/>
  <c r="B258" i="13"/>
  <c r="C257" i="13"/>
  <c r="T256" i="13"/>
  <c r="G256" i="13"/>
  <c r="F252" i="13"/>
  <c r="I252" i="13" s="1"/>
  <c r="N254" i="13"/>
  <c r="M254" i="13"/>
  <c r="L254" i="13"/>
  <c r="J254" i="13"/>
  <c r="K254" i="13"/>
  <c r="O253" i="13"/>
  <c r="P253" i="13" s="1"/>
  <c r="U253" i="13" s="1"/>
  <c r="E258" i="13" l="1"/>
  <c r="D258" i="13"/>
  <c r="H258" i="13" s="1"/>
  <c r="B259" i="13"/>
  <c r="C258" i="13"/>
  <c r="T257" i="13"/>
  <c r="G257" i="13"/>
  <c r="F253" i="13"/>
  <c r="I253" i="13" s="1"/>
  <c r="N255" i="13"/>
  <c r="M255" i="13"/>
  <c r="L255" i="13"/>
  <c r="K255" i="13"/>
  <c r="J255" i="13"/>
  <c r="O254" i="13"/>
  <c r="P254" i="13" s="1"/>
  <c r="U254" i="13" s="1"/>
  <c r="E259" i="13" l="1"/>
  <c r="D259" i="13"/>
  <c r="H259" i="13" s="1"/>
  <c r="C259" i="13"/>
  <c r="T258" i="13"/>
  <c r="B260" i="13"/>
  <c r="G258" i="13"/>
  <c r="F254" i="13"/>
  <c r="I254" i="13" s="1"/>
  <c r="N256" i="13"/>
  <c r="L256" i="13"/>
  <c r="M256" i="13"/>
  <c r="K256" i="13"/>
  <c r="J256" i="13"/>
  <c r="O255" i="13"/>
  <c r="P255" i="13" s="1"/>
  <c r="U255" i="13" s="1"/>
  <c r="E260" i="13" l="1"/>
  <c r="D260" i="13"/>
  <c r="B261" i="13"/>
  <c r="C260" i="13"/>
  <c r="T259" i="13"/>
  <c r="G259" i="13"/>
  <c r="F255" i="13"/>
  <c r="I255" i="13" s="1"/>
  <c r="N257" i="13"/>
  <c r="L257" i="13"/>
  <c r="K257" i="13"/>
  <c r="M257" i="13"/>
  <c r="J257" i="13"/>
  <c r="O256" i="13"/>
  <c r="P256" i="13" s="1"/>
  <c r="U256" i="13" s="1"/>
  <c r="H260" i="13" l="1"/>
  <c r="E261" i="13"/>
  <c r="D261" i="13"/>
  <c r="H261" i="13" s="1"/>
  <c r="C261" i="13"/>
  <c r="T260" i="13"/>
  <c r="B262" i="13"/>
  <c r="G260" i="13"/>
  <c r="F256" i="13"/>
  <c r="I256" i="13" s="1"/>
  <c r="N258" i="13"/>
  <c r="M258" i="13"/>
  <c r="J258" i="13"/>
  <c r="K258" i="13"/>
  <c r="L258" i="13"/>
  <c r="O257" i="13"/>
  <c r="P257" i="13" s="1"/>
  <c r="U257" i="13" s="1"/>
  <c r="E262" i="13" l="1"/>
  <c r="D262" i="13"/>
  <c r="H262" i="13" s="1"/>
  <c r="B263" i="13"/>
  <c r="C262" i="13"/>
  <c r="T261" i="13"/>
  <c r="G261" i="13"/>
  <c r="F257" i="13"/>
  <c r="I257" i="13" s="1"/>
  <c r="O258" i="13"/>
  <c r="P258" i="13" s="1"/>
  <c r="U258" i="13" s="1"/>
  <c r="J259" i="13"/>
  <c r="M259" i="13"/>
  <c r="L259" i="13"/>
  <c r="K259" i="13"/>
  <c r="N259" i="13"/>
  <c r="E263" i="13" l="1"/>
  <c r="D263" i="13"/>
  <c r="H263" i="13" s="1"/>
  <c r="B264" i="13"/>
  <c r="C263" i="13"/>
  <c r="T262" i="13"/>
  <c r="G262" i="13"/>
  <c r="F258" i="13"/>
  <c r="I258" i="13" s="1"/>
  <c r="O259" i="13"/>
  <c r="P259" i="13" s="1"/>
  <c r="U259" i="13" s="1"/>
  <c r="M260" i="13"/>
  <c r="L260" i="13"/>
  <c r="K260" i="13"/>
  <c r="N260" i="13"/>
  <c r="J260" i="13"/>
  <c r="E264" i="13" l="1"/>
  <c r="D264" i="13"/>
  <c r="H264" i="13" s="1"/>
  <c r="C264" i="13"/>
  <c r="T263" i="13"/>
  <c r="B265" i="13"/>
  <c r="G263" i="13"/>
  <c r="F259" i="13"/>
  <c r="I259" i="13" s="1"/>
  <c r="O260" i="13"/>
  <c r="P260" i="13" s="1"/>
  <c r="U260" i="13" s="1"/>
  <c r="N261" i="13"/>
  <c r="J261" i="13"/>
  <c r="K261" i="13"/>
  <c r="M261" i="13"/>
  <c r="L261" i="13"/>
  <c r="E265" i="13" l="1"/>
  <c r="D265" i="13"/>
  <c r="H265" i="13" s="1"/>
  <c r="B266" i="13"/>
  <c r="C265" i="13"/>
  <c r="T264" i="13"/>
  <c r="G264" i="13"/>
  <c r="F260" i="13"/>
  <c r="I260" i="13" s="1"/>
  <c r="O261" i="13"/>
  <c r="P261" i="13" s="1"/>
  <c r="U261" i="13" s="1"/>
  <c r="N262" i="13"/>
  <c r="M262" i="13"/>
  <c r="L262" i="13"/>
  <c r="K262" i="13"/>
  <c r="J262" i="13"/>
  <c r="E266" i="13" l="1"/>
  <c r="D266" i="13"/>
  <c r="H266" i="13" s="1"/>
  <c r="C266" i="13"/>
  <c r="T265" i="13"/>
  <c r="B267" i="13"/>
  <c r="G265" i="13"/>
  <c r="F261" i="13"/>
  <c r="I261" i="13" s="1"/>
  <c r="O262" i="13"/>
  <c r="P262" i="13" s="1"/>
  <c r="U262" i="13" s="1"/>
  <c r="N263" i="13"/>
  <c r="M263" i="13"/>
  <c r="J263" i="13"/>
  <c r="L263" i="13"/>
  <c r="K263" i="13"/>
  <c r="E267" i="13" l="1"/>
  <c r="D267" i="13"/>
  <c r="H267" i="13" s="1"/>
  <c r="B268" i="13"/>
  <c r="C267" i="13"/>
  <c r="T266" i="13"/>
  <c r="G266" i="13"/>
  <c r="F262" i="13"/>
  <c r="I262" i="13" s="1"/>
  <c r="N264" i="13"/>
  <c r="L264" i="13"/>
  <c r="K264" i="13"/>
  <c r="J264" i="13"/>
  <c r="M264" i="13"/>
  <c r="O263" i="13"/>
  <c r="P263" i="13" s="1"/>
  <c r="U263" i="13" s="1"/>
  <c r="E268" i="13" l="1"/>
  <c r="D268" i="13"/>
  <c r="H268" i="13" s="1"/>
  <c r="C268" i="13"/>
  <c r="T267" i="13"/>
  <c r="B269" i="13"/>
  <c r="G267" i="13"/>
  <c r="F263" i="13"/>
  <c r="I263" i="13" s="1"/>
  <c r="M265" i="13"/>
  <c r="J265" i="13"/>
  <c r="K265" i="13"/>
  <c r="L265" i="13"/>
  <c r="N265" i="13"/>
  <c r="O264" i="13"/>
  <c r="P264" i="13" s="1"/>
  <c r="U264" i="13" s="1"/>
  <c r="E269" i="13" l="1"/>
  <c r="D269" i="13"/>
  <c r="H269" i="13" s="1"/>
  <c r="B270" i="13"/>
  <c r="C269" i="13"/>
  <c r="T268" i="13"/>
  <c r="F264" i="13"/>
  <c r="I264" i="13" s="1"/>
  <c r="G268" i="13"/>
  <c r="O265" i="13"/>
  <c r="P265" i="13" s="1"/>
  <c r="U265" i="13" s="1"/>
  <c r="N266" i="13"/>
  <c r="J266" i="13"/>
  <c r="K266" i="13"/>
  <c r="L266" i="13"/>
  <c r="M266" i="13"/>
  <c r="L267" i="13"/>
  <c r="J267" i="13"/>
  <c r="K267" i="13"/>
  <c r="N267" i="13"/>
  <c r="E270" i="13" l="1"/>
  <c r="D270" i="13"/>
  <c r="H270" i="13" s="1"/>
  <c r="C270" i="13"/>
  <c r="T269" i="13"/>
  <c r="B271" i="13"/>
  <c r="G269" i="13"/>
  <c r="F265" i="13"/>
  <c r="I265" i="13" s="1"/>
  <c r="M267" i="13"/>
  <c r="O267" i="13" s="1"/>
  <c r="P267" i="13" s="1"/>
  <c r="U267" i="13" s="1"/>
  <c r="L268" i="13"/>
  <c r="O266" i="13"/>
  <c r="P266" i="13" s="1"/>
  <c r="U266" i="13" s="1"/>
  <c r="N268" i="13"/>
  <c r="K268" i="13"/>
  <c r="M268" i="13"/>
  <c r="E271" i="13" l="1"/>
  <c r="D271" i="13"/>
  <c r="B272" i="13"/>
  <c r="C271" i="13"/>
  <c r="T270" i="13"/>
  <c r="G270" i="13"/>
  <c r="F266" i="13"/>
  <c r="I266" i="13" s="1"/>
  <c r="J268" i="13"/>
  <c r="O268" i="13" s="1"/>
  <c r="P268" i="13" s="1"/>
  <c r="U268" i="13" s="1"/>
  <c r="M269" i="13"/>
  <c r="L269" i="13"/>
  <c r="J269" i="13"/>
  <c r="N269" i="13"/>
  <c r="K269" i="13"/>
  <c r="H271" i="13" l="1"/>
  <c r="E272" i="13"/>
  <c r="D272" i="13"/>
  <c r="H272" i="13" s="1"/>
  <c r="C272" i="13"/>
  <c r="T271" i="13"/>
  <c r="B273" i="13"/>
  <c r="G271" i="13"/>
  <c r="F267" i="13"/>
  <c r="I267" i="13" s="1"/>
  <c r="O269" i="13"/>
  <c r="P269" i="13" s="1"/>
  <c r="U269" i="13" s="1"/>
  <c r="M270" i="13"/>
  <c r="N270" i="13"/>
  <c r="K270" i="13"/>
  <c r="L270" i="13"/>
  <c r="J270" i="13"/>
  <c r="E273" i="13" l="1"/>
  <c r="D273" i="13"/>
  <c r="H273" i="13" s="1"/>
  <c r="B274" i="13"/>
  <c r="C273" i="13"/>
  <c r="T272" i="13"/>
  <c r="G272" i="13"/>
  <c r="F268" i="13"/>
  <c r="I268" i="13" s="1"/>
  <c r="O270" i="13"/>
  <c r="P270" i="13" s="1"/>
  <c r="U270" i="13" s="1"/>
  <c r="N271" i="13"/>
  <c r="M271" i="13"/>
  <c r="L271" i="13"/>
  <c r="J271" i="13"/>
  <c r="K271" i="13"/>
  <c r="E274" i="13" l="1"/>
  <c r="D274" i="13"/>
  <c r="H274" i="13" s="1"/>
  <c r="C274" i="13"/>
  <c r="T273" i="13"/>
  <c r="B275" i="13"/>
  <c r="G273" i="13"/>
  <c r="F269" i="13"/>
  <c r="I269" i="13" s="1"/>
  <c r="O271" i="13"/>
  <c r="P271" i="13" s="1"/>
  <c r="U271" i="13" s="1"/>
  <c r="N272" i="13"/>
  <c r="M272" i="13"/>
  <c r="L272" i="13"/>
  <c r="J272" i="13"/>
  <c r="K272" i="13"/>
  <c r="E275" i="13" l="1"/>
  <c r="D275" i="13"/>
  <c r="H275" i="13" s="1"/>
  <c r="B276" i="13"/>
  <c r="C275" i="13"/>
  <c r="T274" i="13"/>
  <c r="G274" i="13"/>
  <c r="F270" i="13"/>
  <c r="I270" i="13" s="1"/>
  <c r="O272" i="13"/>
  <c r="P272" i="13" s="1"/>
  <c r="U272" i="13" s="1"/>
  <c r="N273" i="13"/>
  <c r="M273" i="13"/>
  <c r="L273" i="13"/>
  <c r="K273" i="13"/>
  <c r="J273" i="13"/>
  <c r="E276" i="13" l="1"/>
  <c r="D276" i="13"/>
  <c r="C276" i="13"/>
  <c r="T275" i="13"/>
  <c r="B277" i="13"/>
  <c r="G275" i="13"/>
  <c r="F271" i="13"/>
  <c r="I271" i="13" s="1"/>
  <c r="O273" i="13"/>
  <c r="P273" i="13" s="1"/>
  <c r="U273" i="13" s="1"/>
  <c r="N274" i="13"/>
  <c r="M274" i="13"/>
  <c r="K274" i="13"/>
  <c r="J274" i="13"/>
  <c r="L274" i="13"/>
  <c r="H276" i="13" l="1"/>
  <c r="E277" i="13"/>
  <c r="D277" i="13"/>
  <c r="H277" i="13" s="1"/>
  <c r="B278" i="13"/>
  <c r="C277" i="13"/>
  <c r="T276" i="13"/>
  <c r="G276" i="13"/>
  <c r="F272" i="13"/>
  <c r="I272" i="13" s="1"/>
  <c r="O274" i="13"/>
  <c r="P274" i="13" s="1"/>
  <c r="U274" i="13" s="1"/>
  <c r="L275" i="13"/>
  <c r="K275" i="13"/>
  <c r="J275" i="13"/>
  <c r="M275" i="13"/>
  <c r="N275" i="13"/>
  <c r="E278" i="13" l="1"/>
  <c r="D278" i="13"/>
  <c r="B279" i="13"/>
  <c r="C278" i="13"/>
  <c r="T277" i="13"/>
  <c r="G277" i="13"/>
  <c r="F273" i="13"/>
  <c r="I273" i="13" s="1"/>
  <c r="O275" i="13"/>
  <c r="P275" i="13" s="1"/>
  <c r="U275" i="13" s="1"/>
  <c r="L276" i="13"/>
  <c r="K276" i="13"/>
  <c r="J276" i="13"/>
  <c r="M276" i="13"/>
  <c r="N276" i="13"/>
  <c r="H278" i="13" l="1"/>
  <c r="E279" i="13"/>
  <c r="D279" i="13"/>
  <c r="C279" i="13"/>
  <c r="T278" i="13"/>
  <c r="B280" i="13"/>
  <c r="G278" i="13"/>
  <c r="F274" i="13"/>
  <c r="I274" i="13" s="1"/>
  <c r="O276" i="13"/>
  <c r="P276" i="13" s="1"/>
  <c r="U276" i="13" s="1"/>
  <c r="N277" i="13"/>
  <c r="L277" i="13"/>
  <c r="K277" i="13"/>
  <c r="J277" i="13"/>
  <c r="M277" i="13"/>
  <c r="H279" i="13" l="1"/>
  <c r="D280" i="13"/>
  <c r="E280" i="13"/>
  <c r="B281" i="13"/>
  <c r="C280" i="13"/>
  <c r="T279" i="13"/>
  <c r="G279" i="13"/>
  <c r="F275" i="13"/>
  <c r="I275" i="13" s="1"/>
  <c r="O277" i="13"/>
  <c r="P277" i="13" s="1"/>
  <c r="U277" i="13" s="1"/>
  <c r="N278" i="13"/>
  <c r="L278" i="13"/>
  <c r="M278" i="13"/>
  <c r="K278" i="13"/>
  <c r="J278" i="13"/>
  <c r="H280" i="13" l="1"/>
  <c r="E281" i="13"/>
  <c r="D281" i="13"/>
  <c r="C281" i="13"/>
  <c r="T280" i="13"/>
  <c r="B282" i="13"/>
  <c r="G280" i="13"/>
  <c r="F276" i="13"/>
  <c r="I276" i="13" s="1"/>
  <c r="O278" i="13"/>
  <c r="P278" i="13" s="1"/>
  <c r="U278" i="13" s="1"/>
  <c r="N279" i="13"/>
  <c r="K279" i="13"/>
  <c r="J279" i="13"/>
  <c r="M279" i="13"/>
  <c r="L279" i="13"/>
  <c r="H281" i="13" l="1"/>
  <c r="E282" i="13"/>
  <c r="D282" i="13"/>
  <c r="H282" i="13" s="1"/>
  <c r="B283" i="13"/>
  <c r="C282" i="13"/>
  <c r="T281" i="13"/>
  <c r="G281" i="13"/>
  <c r="F277" i="13"/>
  <c r="I277" i="13" s="1"/>
  <c r="O279" i="13"/>
  <c r="P279" i="13" s="1"/>
  <c r="U279" i="13" s="1"/>
  <c r="N280" i="13"/>
  <c r="M280" i="13"/>
  <c r="L280" i="13"/>
  <c r="K280" i="13"/>
  <c r="J280" i="13"/>
  <c r="E283" i="13" l="1"/>
  <c r="D283" i="13"/>
  <c r="H283" i="13" s="1"/>
  <c r="C283" i="13"/>
  <c r="T282" i="13"/>
  <c r="B284" i="13"/>
  <c r="G282" i="13"/>
  <c r="F278" i="13"/>
  <c r="I278" i="13" s="1"/>
  <c r="O280" i="13"/>
  <c r="P280" i="13" s="1"/>
  <c r="U280" i="13" s="1"/>
  <c r="N281" i="13"/>
  <c r="M281" i="13"/>
  <c r="L281" i="13"/>
  <c r="K281" i="13"/>
  <c r="J281" i="13"/>
  <c r="E284" i="13" l="1"/>
  <c r="D284" i="13"/>
  <c r="H284" i="13" s="1"/>
  <c r="B285" i="13"/>
  <c r="C284" i="13"/>
  <c r="T283" i="13"/>
  <c r="G283" i="13"/>
  <c r="F279" i="13"/>
  <c r="I279" i="13" s="1"/>
  <c r="O281" i="13"/>
  <c r="P281" i="13" s="1"/>
  <c r="U281" i="13" s="1"/>
  <c r="N282" i="13"/>
  <c r="M282" i="13"/>
  <c r="J282" i="13"/>
  <c r="L282" i="13"/>
  <c r="K282" i="13"/>
  <c r="E285" i="13" l="1"/>
  <c r="D285" i="13"/>
  <c r="C285" i="13"/>
  <c r="T284" i="13"/>
  <c r="B286" i="13"/>
  <c r="G284" i="13"/>
  <c r="F280" i="13"/>
  <c r="I280" i="13" s="1"/>
  <c r="O282" i="13"/>
  <c r="P282" i="13" s="1"/>
  <c r="U282" i="13" s="1"/>
  <c r="K283" i="13"/>
  <c r="M283" i="13"/>
  <c r="J283" i="13"/>
  <c r="N283" i="13"/>
  <c r="L283" i="13"/>
  <c r="H285" i="13" l="1"/>
  <c r="E286" i="13"/>
  <c r="D286" i="13"/>
  <c r="H286" i="13" s="1"/>
  <c r="B287" i="13"/>
  <c r="C286" i="13"/>
  <c r="T285" i="13"/>
  <c r="G285" i="13"/>
  <c r="F281" i="13"/>
  <c r="I281" i="13" s="1"/>
  <c r="O283" i="13"/>
  <c r="P283" i="13" s="1"/>
  <c r="U283" i="13" s="1"/>
  <c r="L284" i="13"/>
  <c r="K284" i="13"/>
  <c r="M284" i="13"/>
  <c r="N284" i="13"/>
  <c r="J284" i="13"/>
  <c r="E287" i="13" l="1"/>
  <c r="D287" i="13"/>
  <c r="H287" i="13" s="1"/>
  <c r="B288" i="13"/>
  <c r="C287" i="13"/>
  <c r="T286" i="13"/>
  <c r="G286" i="13"/>
  <c r="F282" i="13"/>
  <c r="I282" i="13" s="1"/>
  <c r="O284" i="13"/>
  <c r="P284" i="13" s="1"/>
  <c r="U284" i="13" s="1"/>
  <c r="K285" i="13"/>
  <c r="L285" i="13"/>
  <c r="M285" i="13"/>
  <c r="J285" i="13"/>
  <c r="N285" i="13"/>
  <c r="D288" i="13" l="1"/>
  <c r="E288" i="13"/>
  <c r="H288" i="13" s="1"/>
  <c r="C288" i="13"/>
  <c r="T287" i="13"/>
  <c r="B289" i="13"/>
  <c r="G287" i="13"/>
  <c r="F283" i="13"/>
  <c r="I283" i="13" s="1"/>
  <c r="O285" i="13"/>
  <c r="P285" i="13" s="1"/>
  <c r="U285" i="13" s="1"/>
  <c r="L286" i="13"/>
  <c r="K286" i="13"/>
  <c r="N286" i="13"/>
  <c r="J286" i="13"/>
  <c r="M286" i="13"/>
  <c r="E289" i="13" l="1"/>
  <c r="D289" i="13"/>
  <c r="B290" i="13"/>
  <c r="C289" i="13"/>
  <c r="T288" i="13"/>
  <c r="G288" i="13"/>
  <c r="F284" i="13"/>
  <c r="I284" i="13" s="1"/>
  <c r="O286" i="13"/>
  <c r="P286" i="13" s="1"/>
  <c r="U286" i="13" s="1"/>
  <c r="N287" i="13"/>
  <c r="L287" i="13"/>
  <c r="M287" i="13"/>
  <c r="J287" i="13"/>
  <c r="K287" i="13"/>
  <c r="H289" i="13" l="1"/>
  <c r="E290" i="13"/>
  <c r="D290" i="13"/>
  <c r="H290" i="13" s="1"/>
  <c r="B291" i="13"/>
  <c r="C290" i="13"/>
  <c r="T289" i="13"/>
  <c r="G289" i="13"/>
  <c r="F285" i="13"/>
  <c r="I285" i="13" s="1"/>
  <c r="O287" i="13"/>
  <c r="P287" i="13" s="1"/>
  <c r="U287" i="13" s="1"/>
  <c r="N288" i="13"/>
  <c r="K288" i="13"/>
  <c r="M288" i="13"/>
  <c r="J288" i="13"/>
  <c r="L288" i="13"/>
  <c r="E291" i="13" l="1"/>
  <c r="D291" i="13"/>
  <c r="H291" i="13" s="1"/>
  <c r="B292" i="13"/>
  <c r="C291" i="13"/>
  <c r="T290" i="13"/>
  <c r="G290" i="13"/>
  <c r="F286" i="13"/>
  <c r="I286" i="13" s="1"/>
  <c r="O288" i="13"/>
  <c r="P288" i="13" s="1"/>
  <c r="U288" i="13" s="1"/>
  <c r="N289" i="13"/>
  <c r="M289" i="13"/>
  <c r="L289" i="13"/>
  <c r="K289" i="13"/>
  <c r="J289" i="13"/>
  <c r="E292" i="13" l="1"/>
  <c r="D292" i="13"/>
  <c r="C292" i="13"/>
  <c r="T291" i="13"/>
  <c r="B293" i="13"/>
  <c r="G291" i="13"/>
  <c r="F287" i="13"/>
  <c r="I287" i="13" s="1"/>
  <c r="O289" i="13"/>
  <c r="P289" i="13" s="1"/>
  <c r="U289" i="13" s="1"/>
  <c r="N290" i="13"/>
  <c r="M290" i="13"/>
  <c r="J290" i="13"/>
  <c r="L290" i="13"/>
  <c r="K290" i="13"/>
  <c r="H292" i="13" l="1"/>
  <c r="E293" i="13"/>
  <c r="D293" i="13"/>
  <c r="B294" i="13"/>
  <c r="C293" i="13"/>
  <c r="T292" i="13"/>
  <c r="G292" i="13"/>
  <c r="F288" i="13"/>
  <c r="I288" i="13" s="1"/>
  <c r="O290" i="13"/>
  <c r="P290" i="13" s="1"/>
  <c r="U290" i="13" s="1"/>
  <c r="J291" i="13"/>
  <c r="N291" i="13"/>
  <c r="L291" i="13"/>
  <c r="K291" i="13"/>
  <c r="M291" i="13"/>
  <c r="H293" i="13" l="1"/>
  <c r="E294" i="13"/>
  <c r="D294" i="13"/>
  <c r="C294" i="13"/>
  <c r="T293" i="13"/>
  <c r="B295" i="13"/>
  <c r="G293" i="13"/>
  <c r="F289" i="13"/>
  <c r="I289" i="13" s="1"/>
  <c r="O291" i="13"/>
  <c r="P291" i="13" s="1"/>
  <c r="U291" i="13" s="1"/>
  <c r="M292" i="13"/>
  <c r="K292" i="13"/>
  <c r="J292" i="13"/>
  <c r="L292" i="13"/>
  <c r="N292" i="13"/>
  <c r="H294" i="13" l="1"/>
  <c r="E295" i="13"/>
  <c r="D295" i="13"/>
  <c r="H295" i="13" s="1"/>
  <c r="B296" i="13"/>
  <c r="C295" i="13"/>
  <c r="T294" i="13"/>
  <c r="G294" i="13"/>
  <c r="F290" i="13"/>
  <c r="I290" i="13" s="1"/>
  <c r="O292" i="13"/>
  <c r="P292" i="13" s="1"/>
  <c r="U292" i="13" s="1"/>
  <c r="N293" i="13"/>
  <c r="L293" i="13"/>
  <c r="M293" i="13"/>
  <c r="K293" i="13"/>
  <c r="J293" i="13"/>
  <c r="D296" i="13" l="1"/>
  <c r="E296" i="13"/>
  <c r="C296" i="13"/>
  <c r="T295" i="13"/>
  <c r="B297" i="13"/>
  <c r="G295" i="13"/>
  <c r="F291" i="13"/>
  <c r="I291" i="13" s="1"/>
  <c r="O293" i="13"/>
  <c r="P293" i="13" s="1"/>
  <c r="U293" i="13" s="1"/>
  <c r="N294" i="13"/>
  <c r="L294" i="13"/>
  <c r="K294" i="13"/>
  <c r="M294" i="13"/>
  <c r="J294" i="13"/>
  <c r="H296" i="13" l="1"/>
  <c r="E297" i="13"/>
  <c r="D297" i="13"/>
  <c r="H297" i="13" s="1"/>
  <c r="B298" i="13"/>
  <c r="C297" i="13"/>
  <c r="T296" i="13"/>
  <c r="G296" i="13"/>
  <c r="F292" i="13"/>
  <c r="I292" i="13" s="1"/>
  <c r="O294" i="13"/>
  <c r="P294" i="13" s="1"/>
  <c r="U294" i="13" s="1"/>
  <c r="N295" i="13"/>
  <c r="L295" i="13"/>
  <c r="M295" i="13"/>
  <c r="K295" i="13"/>
  <c r="J295" i="13"/>
  <c r="E298" i="13" l="1"/>
  <c r="D298" i="13"/>
  <c r="C298" i="13"/>
  <c r="T297" i="13"/>
  <c r="B299" i="13"/>
  <c r="G297" i="13"/>
  <c r="F293" i="13"/>
  <c r="I293" i="13" s="1"/>
  <c r="O295" i="13"/>
  <c r="P295" i="13" s="1"/>
  <c r="U295" i="13" s="1"/>
  <c r="N296" i="13"/>
  <c r="L296" i="13"/>
  <c r="J296" i="13"/>
  <c r="M296" i="13"/>
  <c r="K296" i="13"/>
  <c r="H298" i="13" l="1"/>
  <c r="E299" i="13"/>
  <c r="D299" i="13"/>
  <c r="H299" i="13" s="1"/>
  <c r="B300" i="13"/>
  <c r="C299" i="13"/>
  <c r="T298" i="13"/>
  <c r="G298" i="13"/>
  <c r="F294" i="13"/>
  <c r="I294" i="13" s="1"/>
  <c r="O296" i="13"/>
  <c r="P296" i="13" s="1"/>
  <c r="U296" i="13" s="1"/>
  <c r="N297" i="13"/>
  <c r="M297" i="13"/>
  <c r="L297" i="13"/>
  <c r="K297" i="13"/>
  <c r="J297" i="13"/>
  <c r="E300" i="13" l="1"/>
  <c r="D300" i="13"/>
  <c r="H300" i="13" s="1"/>
  <c r="C300" i="13"/>
  <c r="T299" i="13"/>
  <c r="B301" i="13"/>
  <c r="G299" i="13"/>
  <c r="F295" i="13"/>
  <c r="I295" i="13" s="1"/>
  <c r="O297" i="13"/>
  <c r="P297" i="13" s="1"/>
  <c r="U297" i="13" s="1"/>
  <c r="N298" i="13"/>
  <c r="M298" i="13"/>
  <c r="J298" i="13"/>
  <c r="K298" i="13"/>
  <c r="L298" i="13"/>
  <c r="E301" i="13" l="1"/>
  <c r="D301" i="13"/>
  <c r="H301" i="13" s="1"/>
  <c r="B302" i="13"/>
  <c r="C301" i="13"/>
  <c r="T300" i="13"/>
  <c r="G300" i="13"/>
  <c r="F296" i="13"/>
  <c r="I296" i="13" s="1"/>
  <c r="O298" i="13"/>
  <c r="P298" i="13" s="1"/>
  <c r="U298" i="13" s="1"/>
  <c r="J299" i="13"/>
  <c r="N299" i="13"/>
  <c r="M299" i="13"/>
  <c r="L299" i="13"/>
  <c r="K299" i="13"/>
  <c r="E302" i="13" l="1"/>
  <c r="D302" i="13"/>
  <c r="H302" i="13" s="1"/>
  <c r="B303" i="13"/>
  <c r="C302" i="13"/>
  <c r="T301" i="13"/>
  <c r="G301" i="13"/>
  <c r="F297" i="13"/>
  <c r="I297" i="13" s="1"/>
  <c r="O299" i="13"/>
  <c r="P299" i="13" s="1"/>
  <c r="U299" i="13" s="1"/>
  <c r="N300" i="13"/>
  <c r="M300" i="13"/>
  <c r="L300" i="13"/>
  <c r="J300" i="13"/>
  <c r="K300" i="13"/>
  <c r="E303" i="13" l="1"/>
  <c r="D303" i="13"/>
  <c r="H303" i="13" s="1"/>
  <c r="C303" i="13"/>
  <c r="T302" i="13"/>
  <c r="B304" i="13"/>
  <c r="G302" i="13"/>
  <c r="F298" i="13"/>
  <c r="I298" i="13" s="1"/>
  <c r="O300" i="13"/>
  <c r="P300" i="13" s="1"/>
  <c r="U300" i="13" s="1"/>
  <c r="K301" i="13"/>
  <c r="J301" i="13"/>
  <c r="N301" i="13"/>
  <c r="M301" i="13"/>
  <c r="L301" i="13"/>
  <c r="D304" i="13" l="1"/>
  <c r="E304" i="13"/>
  <c r="B305" i="13"/>
  <c r="C304" i="13"/>
  <c r="T303" i="13"/>
  <c r="G303" i="13"/>
  <c r="F299" i="13"/>
  <c r="I299" i="13" s="1"/>
  <c r="O301" i="13"/>
  <c r="P301" i="13" s="1"/>
  <c r="U301" i="13" s="1"/>
  <c r="M302" i="13"/>
  <c r="L302" i="13"/>
  <c r="K302" i="13"/>
  <c r="N302" i="13"/>
  <c r="J302" i="13"/>
  <c r="H304" i="13" l="1"/>
  <c r="E305" i="13"/>
  <c r="D305" i="13"/>
  <c r="H305" i="13" s="1"/>
  <c r="C305" i="13"/>
  <c r="T304" i="13"/>
  <c r="B306" i="13"/>
  <c r="G304" i="13"/>
  <c r="F300" i="13"/>
  <c r="I300" i="13" s="1"/>
  <c r="O302" i="13"/>
  <c r="P302" i="13" s="1"/>
  <c r="U302" i="13" s="1"/>
  <c r="N303" i="13"/>
  <c r="K303" i="13"/>
  <c r="M303" i="13"/>
  <c r="L303" i="13"/>
  <c r="J303" i="13"/>
  <c r="E306" i="13" l="1"/>
  <c r="D306" i="13"/>
  <c r="B307" i="13"/>
  <c r="C306" i="13"/>
  <c r="T305" i="13"/>
  <c r="G305" i="13"/>
  <c r="F301" i="13"/>
  <c r="I301" i="13" s="1"/>
  <c r="O303" i="13"/>
  <c r="P303" i="13" s="1"/>
  <c r="U303" i="13" s="1"/>
  <c r="N304" i="13"/>
  <c r="M304" i="13"/>
  <c r="L304" i="13"/>
  <c r="K304" i="13"/>
  <c r="J304" i="13"/>
  <c r="H306" i="13" l="1"/>
  <c r="E307" i="13"/>
  <c r="D307" i="13"/>
  <c r="C307" i="13"/>
  <c r="T306" i="13"/>
  <c r="B308" i="13"/>
  <c r="G306" i="13"/>
  <c r="F302" i="13"/>
  <c r="I302" i="13" s="1"/>
  <c r="O304" i="13"/>
  <c r="P304" i="13" s="1"/>
  <c r="U304" i="13" s="1"/>
  <c r="N305" i="13"/>
  <c r="M305" i="13"/>
  <c r="L305" i="13"/>
  <c r="K305" i="13"/>
  <c r="J305" i="13"/>
  <c r="H307" i="13" l="1"/>
  <c r="E308" i="13"/>
  <c r="D308" i="13"/>
  <c r="B309" i="13"/>
  <c r="C308" i="13"/>
  <c r="T307" i="13"/>
  <c r="G307" i="13"/>
  <c r="F303" i="13"/>
  <c r="I303" i="13" s="1"/>
  <c r="O305" i="13"/>
  <c r="P305" i="13" s="1"/>
  <c r="U305" i="13" s="1"/>
  <c r="N306" i="13"/>
  <c r="M306" i="13"/>
  <c r="J306" i="13"/>
  <c r="L306" i="13"/>
  <c r="K306" i="13"/>
  <c r="H308" i="13" l="1"/>
  <c r="E309" i="13"/>
  <c r="D309" i="13"/>
  <c r="C309" i="13"/>
  <c r="T308" i="13"/>
  <c r="B310" i="13"/>
  <c r="G308" i="13"/>
  <c r="F304" i="13"/>
  <c r="I304" i="13" s="1"/>
  <c r="O306" i="13"/>
  <c r="P306" i="13" s="1"/>
  <c r="U306" i="13" s="1"/>
  <c r="J307" i="13"/>
  <c r="M307" i="13"/>
  <c r="K307" i="13"/>
  <c r="N307" i="13"/>
  <c r="L307" i="13"/>
  <c r="H309" i="13" l="1"/>
  <c r="E310" i="13"/>
  <c r="D310" i="13"/>
  <c r="H310" i="13" s="1"/>
  <c r="B311" i="13"/>
  <c r="C310" i="13"/>
  <c r="T309" i="13"/>
  <c r="G309" i="13"/>
  <c r="F305" i="13"/>
  <c r="I305" i="13" s="1"/>
  <c r="O307" i="13"/>
  <c r="P307" i="13" s="1"/>
  <c r="U307" i="13" s="1"/>
  <c r="L308" i="13"/>
  <c r="K308" i="13"/>
  <c r="N308" i="13"/>
  <c r="M308" i="13"/>
  <c r="J308" i="13"/>
  <c r="E311" i="13" l="1"/>
  <c r="D311" i="13"/>
  <c r="H311" i="13" s="1"/>
  <c r="C311" i="13"/>
  <c r="T310" i="13"/>
  <c r="B312" i="13"/>
  <c r="G310" i="13"/>
  <c r="F306" i="13"/>
  <c r="I306" i="13" s="1"/>
  <c r="O308" i="13"/>
  <c r="P308" i="13" s="1"/>
  <c r="U308" i="13" s="1"/>
  <c r="N309" i="13"/>
  <c r="J309" i="13"/>
  <c r="M309" i="13"/>
  <c r="L309" i="13"/>
  <c r="K309" i="13"/>
  <c r="E312" i="13" l="1"/>
  <c r="D312" i="13"/>
  <c r="B313" i="13"/>
  <c r="C312" i="13"/>
  <c r="T311" i="13"/>
  <c r="G311" i="13"/>
  <c r="F307" i="13"/>
  <c r="I307" i="13" s="1"/>
  <c r="O309" i="13"/>
  <c r="P309" i="13" s="1"/>
  <c r="U309" i="13" s="1"/>
  <c r="K310" i="13"/>
  <c r="N310" i="13"/>
  <c r="M310" i="13"/>
  <c r="L310" i="13"/>
  <c r="J310" i="13"/>
  <c r="H312" i="13" l="1"/>
  <c r="E313" i="13"/>
  <c r="D313" i="13"/>
  <c r="C313" i="13"/>
  <c r="T312" i="13"/>
  <c r="B314" i="13"/>
  <c r="G312" i="13"/>
  <c r="F308" i="13"/>
  <c r="I308" i="13" s="1"/>
  <c r="O310" i="13"/>
  <c r="P310" i="13" s="1"/>
  <c r="U310" i="13" s="1"/>
  <c r="N311" i="13"/>
  <c r="L311" i="13"/>
  <c r="K311" i="13"/>
  <c r="J311" i="13"/>
  <c r="M311" i="13"/>
  <c r="H313" i="13" l="1"/>
  <c r="E314" i="13"/>
  <c r="D314" i="13"/>
  <c r="B315" i="13"/>
  <c r="C314" i="13"/>
  <c r="T313" i="13"/>
  <c r="G313" i="13"/>
  <c r="F309" i="13"/>
  <c r="I309" i="13" s="1"/>
  <c r="O311" i="13"/>
  <c r="P311" i="13" s="1"/>
  <c r="U311" i="13" s="1"/>
  <c r="N312" i="13"/>
  <c r="M312" i="13"/>
  <c r="L312" i="13"/>
  <c r="K312" i="13"/>
  <c r="J312" i="13"/>
  <c r="H314" i="13" l="1"/>
  <c r="E315" i="13"/>
  <c r="D315" i="13"/>
  <c r="C315" i="13"/>
  <c r="T314" i="13"/>
  <c r="B316" i="13"/>
  <c r="G314" i="13"/>
  <c r="F310" i="13"/>
  <c r="I310" i="13" s="1"/>
  <c r="O312" i="13"/>
  <c r="P312" i="13" s="1"/>
  <c r="U312" i="13" s="1"/>
  <c r="N313" i="13"/>
  <c r="M313" i="13"/>
  <c r="L313" i="13"/>
  <c r="K313" i="13"/>
  <c r="J313" i="13"/>
  <c r="H315" i="13" l="1"/>
  <c r="E316" i="13"/>
  <c r="D316" i="13"/>
  <c r="H316" i="13"/>
  <c r="B317" i="13"/>
  <c r="C316" i="13"/>
  <c r="T315" i="13"/>
  <c r="G315" i="13"/>
  <c r="F311" i="13"/>
  <c r="I311" i="13" s="1"/>
  <c r="O313" i="13"/>
  <c r="P313" i="13" s="1"/>
  <c r="U313" i="13" s="1"/>
  <c r="N314" i="13"/>
  <c r="J314" i="13"/>
  <c r="M314" i="13"/>
  <c r="L314" i="13"/>
  <c r="K314" i="13"/>
  <c r="E317" i="13" l="1"/>
  <c r="D317" i="13"/>
  <c r="C317" i="13"/>
  <c r="T316" i="13"/>
  <c r="B318" i="13"/>
  <c r="G316" i="13"/>
  <c r="F312" i="13"/>
  <c r="I312" i="13" s="1"/>
  <c r="O314" i="13"/>
  <c r="P314" i="13" s="1"/>
  <c r="U314" i="13" s="1"/>
  <c r="J315" i="13"/>
  <c r="N315" i="13"/>
  <c r="M315" i="13"/>
  <c r="L315" i="13"/>
  <c r="K315" i="13"/>
  <c r="H317" i="13" l="1"/>
  <c r="E318" i="13"/>
  <c r="D318" i="13"/>
  <c r="H318" i="13" s="1"/>
  <c r="B319" i="13"/>
  <c r="C318" i="13"/>
  <c r="T317" i="13"/>
  <c r="G317" i="13"/>
  <c r="F313" i="13"/>
  <c r="I313" i="13" s="1"/>
  <c r="O315" i="13"/>
  <c r="P315" i="13" s="1"/>
  <c r="U315" i="13" s="1"/>
  <c r="N316" i="13"/>
  <c r="M316" i="13"/>
  <c r="K316" i="13"/>
  <c r="J316" i="13"/>
  <c r="L316" i="13"/>
  <c r="E319" i="13" l="1"/>
  <c r="D319" i="13"/>
  <c r="H319" i="13" s="1"/>
  <c r="C319" i="13"/>
  <c r="T318" i="13"/>
  <c r="B320" i="13"/>
  <c r="G318" i="13"/>
  <c r="F314" i="13"/>
  <c r="I314" i="13" s="1"/>
  <c r="O316" i="13"/>
  <c r="P316" i="13" s="1"/>
  <c r="U316" i="13" s="1"/>
  <c r="J317" i="13"/>
  <c r="L317" i="13"/>
  <c r="K317" i="13"/>
  <c r="M317" i="13"/>
  <c r="N317" i="13"/>
  <c r="D320" i="13" l="1"/>
  <c r="E320" i="13"/>
  <c r="H320" i="13" s="1"/>
  <c r="B321" i="13"/>
  <c r="C320" i="13"/>
  <c r="T319" i="13"/>
  <c r="G319" i="13"/>
  <c r="F315" i="13"/>
  <c r="I315" i="13" s="1"/>
  <c r="O317" i="13"/>
  <c r="P317" i="13" s="1"/>
  <c r="U317" i="13" s="1"/>
  <c r="N318" i="13"/>
  <c r="M318" i="13"/>
  <c r="L318" i="13"/>
  <c r="K318" i="13"/>
  <c r="J318" i="13"/>
  <c r="E321" i="13" l="1"/>
  <c r="D321" i="13"/>
  <c r="H321" i="13" s="1"/>
  <c r="C321" i="13"/>
  <c r="T320" i="13"/>
  <c r="B322" i="13"/>
  <c r="G320" i="13"/>
  <c r="F316" i="13"/>
  <c r="I316" i="13" s="1"/>
  <c r="O318" i="13"/>
  <c r="P318" i="13" s="1"/>
  <c r="U318" i="13" s="1"/>
  <c r="N319" i="13"/>
  <c r="K319" i="13"/>
  <c r="J319" i="13"/>
  <c r="M319" i="13"/>
  <c r="L319" i="13"/>
  <c r="E322" i="13" l="1"/>
  <c r="D322" i="13"/>
  <c r="B323" i="13"/>
  <c r="C322" i="13"/>
  <c r="T321" i="13"/>
  <c r="G321" i="13"/>
  <c r="F317" i="13"/>
  <c r="I317" i="13" s="1"/>
  <c r="O319" i="13"/>
  <c r="P319" i="13" s="1"/>
  <c r="U319" i="13" s="1"/>
  <c r="N320" i="13"/>
  <c r="L320" i="13"/>
  <c r="K320" i="13"/>
  <c r="J320" i="13"/>
  <c r="M320" i="13"/>
  <c r="H322" i="13" l="1"/>
  <c r="E323" i="13"/>
  <c r="D323" i="13"/>
  <c r="C323" i="13"/>
  <c r="T322" i="13"/>
  <c r="B324" i="13"/>
  <c r="G322" i="13"/>
  <c r="F318" i="13"/>
  <c r="I318" i="13" s="1"/>
  <c r="O320" i="13"/>
  <c r="P320" i="13" s="1"/>
  <c r="U320" i="13" s="1"/>
  <c r="N321" i="13"/>
  <c r="M321" i="13"/>
  <c r="L321" i="13"/>
  <c r="K321" i="13"/>
  <c r="J321" i="13"/>
  <c r="H323" i="13" l="1"/>
  <c r="E324" i="13"/>
  <c r="D324" i="13"/>
  <c r="H324" i="13" s="1"/>
  <c r="C324" i="13"/>
  <c r="T323" i="13"/>
  <c r="B325" i="13"/>
  <c r="G323" i="13"/>
  <c r="F319" i="13"/>
  <c r="I319" i="13" s="1"/>
  <c r="O321" i="13"/>
  <c r="P321" i="13" s="1"/>
  <c r="U321" i="13" s="1"/>
  <c r="N322" i="13"/>
  <c r="M322" i="13"/>
  <c r="J322" i="13"/>
  <c r="L322" i="13"/>
  <c r="K322" i="13"/>
  <c r="E325" i="13" l="1"/>
  <c r="D325" i="13"/>
  <c r="H325" i="13" s="1"/>
  <c r="B326" i="13"/>
  <c r="C325" i="13"/>
  <c r="T324" i="13"/>
  <c r="G324" i="13"/>
  <c r="F320" i="13"/>
  <c r="I320" i="13" s="1"/>
  <c r="O322" i="13"/>
  <c r="P322" i="13" s="1"/>
  <c r="U322" i="13" s="1"/>
  <c r="M323" i="13"/>
  <c r="J323" i="13"/>
  <c r="L323" i="13"/>
  <c r="K323" i="13"/>
  <c r="N323" i="13"/>
  <c r="E326" i="13" l="1"/>
  <c r="D326" i="13"/>
  <c r="H326" i="13" s="1"/>
  <c r="C326" i="13"/>
  <c r="T325" i="13"/>
  <c r="B327" i="13"/>
  <c r="G325" i="13"/>
  <c r="F321" i="13"/>
  <c r="I321" i="13" s="1"/>
  <c r="O323" i="13"/>
  <c r="P323" i="13" s="1"/>
  <c r="U323" i="13" s="1"/>
  <c r="M324" i="13"/>
  <c r="L324" i="13"/>
  <c r="K324" i="13"/>
  <c r="N324" i="13"/>
  <c r="J324" i="13"/>
  <c r="E327" i="13" l="1"/>
  <c r="D327" i="13"/>
  <c r="H327" i="13" s="1"/>
  <c r="B328" i="13"/>
  <c r="C327" i="13"/>
  <c r="T326" i="13"/>
  <c r="G326" i="13"/>
  <c r="F322" i="13"/>
  <c r="I322" i="13" s="1"/>
  <c r="O324" i="13"/>
  <c r="P324" i="13" s="1"/>
  <c r="U324" i="13" s="1"/>
  <c r="N325" i="13"/>
  <c r="M325" i="13"/>
  <c r="J325" i="13"/>
  <c r="K325" i="13"/>
  <c r="L325" i="13"/>
  <c r="E328" i="13" l="1"/>
  <c r="D328" i="13"/>
  <c r="H328" i="13" s="1"/>
  <c r="C328" i="13"/>
  <c r="T327" i="13"/>
  <c r="B329" i="13"/>
  <c r="G327" i="13"/>
  <c r="F323" i="13"/>
  <c r="I323" i="13" s="1"/>
  <c r="O325" i="13"/>
  <c r="P325" i="13" s="1"/>
  <c r="U325" i="13" s="1"/>
  <c r="N326" i="13"/>
  <c r="L326" i="13"/>
  <c r="K326" i="13"/>
  <c r="J326" i="13"/>
  <c r="M326" i="13"/>
  <c r="E329" i="13" l="1"/>
  <c r="D329" i="13"/>
  <c r="H329" i="13" s="1"/>
  <c r="B330" i="13"/>
  <c r="C329" i="13"/>
  <c r="T328" i="13"/>
  <c r="G328" i="13"/>
  <c r="F324" i="13"/>
  <c r="I324" i="13" s="1"/>
  <c r="O326" i="13"/>
  <c r="P326" i="13" s="1"/>
  <c r="U326" i="13" s="1"/>
  <c r="N327" i="13"/>
  <c r="M327" i="13"/>
  <c r="J327" i="13"/>
  <c r="L327" i="13"/>
  <c r="K327" i="13"/>
  <c r="E330" i="13" l="1"/>
  <c r="D330" i="13"/>
  <c r="H330" i="13" s="1"/>
  <c r="C330" i="13"/>
  <c r="T329" i="13"/>
  <c r="B331" i="13"/>
  <c r="G329" i="13"/>
  <c r="F325" i="13"/>
  <c r="I325" i="13" s="1"/>
  <c r="O327" i="13"/>
  <c r="P327" i="13" s="1"/>
  <c r="U327" i="13" s="1"/>
  <c r="N328" i="13"/>
  <c r="K328" i="13"/>
  <c r="M328" i="13"/>
  <c r="J328" i="13"/>
  <c r="L328" i="13"/>
  <c r="E331" i="13" l="1"/>
  <c r="D331" i="13"/>
  <c r="B332" i="13"/>
  <c r="C331" i="13"/>
  <c r="T330" i="13"/>
  <c r="G330" i="13"/>
  <c r="F326" i="13"/>
  <c r="I326" i="13" s="1"/>
  <c r="O328" i="13"/>
  <c r="P328" i="13" s="1"/>
  <c r="U328" i="13" s="1"/>
  <c r="N329" i="13"/>
  <c r="M329" i="13"/>
  <c r="L329" i="13"/>
  <c r="K329" i="13"/>
  <c r="J329" i="13"/>
  <c r="H331" i="13" l="1"/>
  <c r="E332" i="13"/>
  <c r="D332" i="13"/>
  <c r="H332" i="13" s="1"/>
  <c r="C332" i="13"/>
  <c r="T331" i="13"/>
  <c r="B333" i="13"/>
  <c r="G331" i="13"/>
  <c r="F327" i="13"/>
  <c r="I327" i="13" s="1"/>
  <c r="O329" i="13"/>
  <c r="P329" i="13" s="1"/>
  <c r="U329" i="13" s="1"/>
  <c r="N330" i="13"/>
  <c r="L330" i="13"/>
  <c r="J330" i="13"/>
  <c r="K330" i="13"/>
  <c r="M330" i="13"/>
  <c r="E333" i="13" l="1"/>
  <c r="D333" i="13"/>
  <c r="B334" i="13"/>
  <c r="C333" i="13"/>
  <c r="T332" i="13"/>
  <c r="G332" i="13"/>
  <c r="F328" i="13"/>
  <c r="I328" i="13" s="1"/>
  <c r="O330" i="13"/>
  <c r="P330" i="13" s="1"/>
  <c r="U330" i="13" s="1"/>
  <c r="M331" i="13"/>
  <c r="K331" i="13"/>
  <c r="L331" i="13"/>
  <c r="J331" i="13"/>
  <c r="N331" i="13"/>
  <c r="H333" i="13" l="1"/>
  <c r="E334" i="13"/>
  <c r="D334" i="13"/>
  <c r="H334" i="13" s="1"/>
  <c r="C334" i="13"/>
  <c r="T333" i="13"/>
  <c r="B335" i="13"/>
  <c r="G333" i="13"/>
  <c r="F329" i="13"/>
  <c r="I329" i="13" s="1"/>
  <c r="O331" i="13"/>
  <c r="P331" i="13" s="1"/>
  <c r="U331" i="13" s="1"/>
  <c r="M332" i="13"/>
  <c r="L332" i="13"/>
  <c r="N332" i="13"/>
  <c r="K332" i="13"/>
  <c r="J332" i="13"/>
  <c r="E335" i="13" l="1"/>
  <c r="D335" i="13"/>
  <c r="H335" i="13" s="1"/>
  <c r="C335" i="13"/>
  <c r="T334" i="13"/>
  <c r="B336" i="13"/>
  <c r="G334" i="13"/>
  <c r="F330" i="13"/>
  <c r="I330" i="13" s="1"/>
  <c r="O332" i="13"/>
  <c r="P332" i="13" s="1"/>
  <c r="U332" i="13" s="1"/>
  <c r="M333" i="13"/>
  <c r="L333" i="13"/>
  <c r="J333" i="13"/>
  <c r="K333" i="13"/>
  <c r="N333" i="13"/>
  <c r="E336" i="13" l="1"/>
  <c r="D336" i="13"/>
  <c r="B337" i="13"/>
  <c r="C336" i="13"/>
  <c r="T335" i="13"/>
  <c r="G335" i="13"/>
  <c r="F331" i="13"/>
  <c r="I331" i="13" s="1"/>
  <c r="O333" i="13"/>
  <c r="P333" i="13" s="1"/>
  <c r="U333" i="13" s="1"/>
  <c r="M334" i="13"/>
  <c r="N334" i="13"/>
  <c r="K334" i="13"/>
  <c r="J334" i="13"/>
  <c r="L334" i="13"/>
  <c r="H336" i="13" l="1"/>
  <c r="E337" i="13"/>
  <c r="D337" i="13"/>
  <c r="H337" i="13" s="1"/>
  <c r="B338" i="13"/>
  <c r="C337" i="13"/>
  <c r="T336" i="13"/>
  <c r="G336" i="13"/>
  <c r="F332" i="13"/>
  <c r="I332" i="13" s="1"/>
  <c r="O334" i="13"/>
  <c r="P334" i="13" s="1"/>
  <c r="U334" i="13" s="1"/>
  <c r="N335" i="13"/>
  <c r="L335" i="13"/>
  <c r="J335" i="13"/>
  <c r="K335" i="13"/>
  <c r="M335" i="13"/>
  <c r="E338" i="13" l="1"/>
  <c r="D338" i="13"/>
  <c r="H338" i="13" s="1"/>
  <c r="C338" i="13"/>
  <c r="T337" i="13"/>
  <c r="B339" i="13"/>
  <c r="G337" i="13"/>
  <c r="F333" i="13"/>
  <c r="I333" i="13" s="1"/>
  <c r="O335" i="13"/>
  <c r="P335" i="13" s="1"/>
  <c r="U335" i="13" s="1"/>
  <c r="N336" i="13"/>
  <c r="M336" i="13"/>
  <c r="L336" i="13"/>
  <c r="J336" i="13"/>
  <c r="K336" i="13"/>
  <c r="E339" i="13" l="1"/>
  <c r="D339" i="13"/>
  <c r="B340" i="13"/>
  <c r="C339" i="13"/>
  <c r="T338" i="13"/>
  <c r="G338" i="13"/>
  <c r="F334" i="13"/>
  <c r="I334" i="13" s="1"/>
  <c r="O336" i="13"/>
  <c r="P336" i="13" s="1"/>
  <c r="U336" i="13" s="1"/>
  <c r="N337" i="13"/>
  <c r="M337" i="13"/>
  <c r="L337" i="13"/>
  <c r="K337" i="13"/>
  <c r="J337" i="13"/>
  <c r="H339" i="13" l="1"/>
  <c r="E340" i="13"/>
  <c r="D340" i="13"/>
  <c r="C340" i="13"/>
  <c r="T339" i="13"/>
  <c r="B341" i="13"/>
  <c r="G339" i="13"/>
  <c r="F335" i="13"/>
  <c r="I335" i="13" s="1"/>
  <c r="O337" i="13"/>
  <c r="P337" i="13" s="1"/>
  <c r="U337" i="13" s="1"/>
  <c r="N338" i="13"/>
  <c r="K338" i="13"/>
  <c r="J338" i="13"/>
  <c r="M338" i="13"/>
  <c r="L338" i="13"/>
  <c r="H340" i="13" l="1"/>
  <c r="E341" i="13"/>
  <c r="D341" i="13"/>
  <c r="H341" i="13" s="1"/>
  <c r="B342" i="13"/>
  <c r="C341" i="13"/>
  <c r="T340" i="13"/>
  <c r="G340" i="13"/>
  <c r="F336" i="13"/>
  <c r="I336" i="13" s="1"/>
  <c r="O338" i="13"/>
  <c r="P338" i="13" s="1"/>
  <c r="U338" i="13" s="1"/>
  <c r="L339" i="13"/>
  <c r="K339" i="13"/>
  <c r="J339" i="13"/>
  <c r="N339" i="13"/>
  <c r="M339" i="13"/>
  <c r="E342" i="13" l="1"/>
  <c r="D342" i="13"/>
  <c r="H342" i="13" s="1"/>
  <c r="C342" i="13"/>
  <c r="T341" i="13"/>
  <c r="B343" i="13"/>
  <c r="G341" i="13"/>
  <c r="F337" i="13"/>
  <c r="I337" i="13" s="1"/>
  <c r="O339" i="13"/>
  <c r="P339" i="13" s="1"/>
  <c r="U339" i="13" s="1"/>
  <c r="M340" i="13"/>
  <c r="L340" i="13"/>
  <c r="K340" i="13"/>
  <c r="J340" i="13"/>
  <c r="N340" i="13"/>
  <c r="E343" i="13" l="1"/>
  <c r="D343" i="13"/>
  <c r="H343" i="13" s="1"/>
  <c r="B344" i="13"/>
  <c r="C343" i="13"/>
  <c r="T342" i="13"/>
  <c r="G342" i="13"/>
  <c r="F338" i="13"/>
  <c r="I338" i="13" s="1"/>
  <c r="O340" i="13"/>
  <c r="P340" i="13" s="1"/>
  <c r="U340" i="13" s="1"/>
  <c r="N341" i="13"/>
  <c r="L341" i="13"/>
  <c r="M341" i="13"/>
  <c r="K341" i="13"/>
  <c r="J341" i="13"/>
  <c r="E344" i="13" l="1"/>
  <c r="D344" i="13"/>
  <c r="H344" i="13" s="1"/>
  <c r="C344" i="13"/>
  <c r="T343" i="13"/>
  <c r="B345" i="13"/>
  <c r="G343" i="13"/>
  <c r="F339" i="13"/>
  <c r="I339" i="13" s="1"/>
  <c r="O341" i="13"/>
  <c r="P341" i="13" s="1"/>
  <c r="U341" i="13" s="1"/>
  <c r="N342" i="13"/>
  <c r="M342" i="13"/>
  <c r="L342" i="13"/>
  <c r="J342" i="13"/>
  <c r="K342" i="13"/>
  <c r="E345" i="13" l="1"/>
  <c r="D345" i="13"/>
  <c r="B346" i="13"/>
  <c r="C345" i="13"/>
  <c r="T344" i="13"/>
  <c r="G344" i="13"/>
  <c r="F340" i="13"/>
  <c r="I340" i="13" s="1"/>
  <c r="O342" i="13"/>
  <c r="P342" i="13" s="1"/>
  <c r="U342" i="13" s="1"/>
  <c r="N343" i="13"/>
  <c r="M343" i="13"/>
  <c r="K343" i="13"/>
  <c r="J343" i="13"/>
  <c r="L343" i="13"/>
  <c r="H345" i="13" l="1"/>
  <c r="E346" i="13"/>
  <c r="D346" i="13"/>
  <c r="H346" i="13" s="1"/>
  <c r="C346" i="13"/>
  <c r="T345" i="13"/>
  <c r="B347" i="13"/>
  <c r="G345" i="13"/>
  <c r="F341" i="13"/>
  <c r="I341" i="13" s="1"/>
  <c r="O343" i="13"/>
  <c r="P343" i="13" s="1"/>
  <c r="U343" i="13" s="1"/>
  <c r="N344" i="13"/>
  <c r="L344" i="13"/>
  <c r="K344" i="13"/>
  <c r="J344" i="13"/>
  <c r="M344" i="13"/>
  <c r="E347" i="13" l="1"/>
  <c r="D347" i="13"/>
  <c r="H347" i="13" s="1"/>
  <c r="B348" i="13"/>
  <c r="C347" i="13"/>
  <c r="T346" i="13"/>
  <c r="G346" i="13"/>
  <c r="F342" i="13"/>
  <c r="I342" i="13" s="1"/>
  <c r="O344" i="13"/>
  <c r="P344" i="13" s="1"/>
  <c r="U344" i="13" s="1"/>
  <c r="N345" i="13"/>
  <c r="M345" i="13"/>
  <c r="L345" i="13"/>
  <c r="K345" i="13"/>
  <c r="J345" i="13"/>
  <c r="E348" i="13" l="1"/>
  <c r="D348" i="13"/>
  <c r="C348" i="13"/>
  <c r="T347" i="13"/>
  <c r="B349" i="13"/>
  <c r="G347" i="13"/>
  <c r="F343" i="13"/>
  <c r="I343" i="13" s="1"/>
  <c r="O345" i="13"/>
  <c r="P345" i="13" s="1"/>
  <c r="U345" i="13" s="1"/>
  <c r="N346" i="13"/>
  <c r="K346" i="13"/>
  <c r="J346" i="13"/>
  <c r="M346" i="13"/>
  <c r="L346" i="13"/>
  <c r="H348" i="13" l="1"/>
  <c r="E349" i="13"/>
  <c r="D349" i="13"/>
  <c r="H349" i="13" s="1"/>
  <c r="B350" i="13"/>
  <c r="C349" i="13"/>
  <c r="T348" i="13"/>
  <c r="G348" i="13"/>
  <c r="F344" i="13"/>
  <c r="I344" i="13" s="1"/>
  <c r="O346" i="13"/>
  <c r="P346" i="13" s="1"/>
  <c r="U346" i="13" s="1"/>
  <c r="K347" i="13"/>
  <c r="J347" i="13"/>
  <c r="N347" i="13"/>
  <c r="M347" i="13"/>
  <c r="L347" i="13"/>
  <c r="E350" i="13" l="1"/>
  <c r="D350" i="13"/>
  <c r="H350" i="13" s="1"/>
  <c r="C350" i="13"/>
  <c r="T349" i="13"/>
  <c r="B351" i="13"/>
  <c r="G349" i="13"/>
  <c r="F345" i="13"/>
  <c r="I345" i="13" s="1"/>
  <c r="O347" i="13"/>
  <c r="P347" i="13" s="1"/>
  <c r="U347" i="13" s="1"/>
  <c r="L348" i="13"/>
  <c r="K348" i="13"/>
  <c r="N348" i="13"/>
  <c r="J348" i="13"/>
  <c r="M348" i="13"/>
  <c r="E351" i="13" l="1"/>
  <c r="D351" i="13"/>
  <c r="H351" i="13" s="1"/>
  <c r="B352" i="13"/>
  <c r="C351" i="13"/>
  <c r="T350" i="13"/>
  <c r="G350" i="13"/>
  <c r="F346" i="13"/>
  <c r="I346" i="13" s="1"/>
  <c r="O348" i="13"/>
  <c r="P348" i="13" s="1"/>
  <c r="U348" i="13" s="1"/>
  <c r="M349" i="13"/>
  <c r="L349" i="13"/>
  <c r="K349" i="13"/>
  <c r="J349" i="13"/>
  <c r="N349" i="13"/>
  <c r="E352" i="13" l="1"/>
  <c r="D352" i="13"/>
  <c r="H352" i="13" s="1"/>
  <c r="C352" i="13"/>
  <c r="T351" i="13"/>
  <c r="B353" i="13"/>
  <c r="G351" i="13"/>
  <c r="F347" i="13"/>
  <c r="I347" i="13" s="1"/>
  <c r="O349" i="13"/>
  <c r="P349" i="13" s="1"/>
  <c r="U349" i="13" s="1"/>
  <c r="M350" i="13"/>
  <c r="L350" i="13"/>
  <c r="N350" i="13"/>
  <c r="K350" i="13"/>
  <c r="J350" i="13"/>
  <c r="E353" i="13" l="1"/>
  <c r="D353" i="13"/>
  <c r="B354" i="13"/>
  <c r="C353" i="13"/>
  <c r="T352" i="13"/>
  <c r="G352" i="13"/>
  <c r="F348" i="13"/>
  <c r="I348" i="13" s="1"/>
  <c r="O350" i="13"/>
  <c r="P350" i="13" s="1"/>
  <c r="U350" i="13" s="1"/>
  <c r="N351" i="13"/>
  <c r="M351" i="13"/>
  <c r="L351" i="13"/>
  <c r="K351" i="13"/>
  <c r="J351" i="13"/>
  <c r="H353" i="13" l="1"/>
  <c r="E354" i="13"/>
  <c r="D354" i="13"/>
  <c r="H354" i="13" s="1"/>
  <c r="C354" i="13"/>
  <c r="T353" i="13"/>
  <c r="B355" i="13"/>
  <c r="G353" i="13"/>
  <c r="F349" i="13"/>
  <c r="I349" i="13" s="1"/>
  <c r="O351" i="13"/>
  <c r="P351" i="13" s="1"/>
  <c r="U351" i="13" s="1"/>
  <c r="N352" i="13"/>
  <c r="M352" i="13"/>
  <c r="K352" i="13"/>
  <c r="J352" i="13"/>
  <c r="L352" i="13"/>
  <c r="E355" i="13" l="1"/>
  <c r="D355" i="13"/>
  <c r="H355" i="13" s="1"/>
  <c r="B356" i="13"/>
  <c r="C355" i="13"/>
  <c r="T354" i="13"/>
  <c r="G354" i="13"/>
  <c r="F350" i="13"/>
  <c r="I350" i="13" s="1"/>
  <c r="O352" i="13"/>
  <c r="P352" i="13" s="1"/>
  <c r="U352" i="13" s="1"/>
  <c r="N353" i="13"/>
  <c r="M353" i="13"/>
  <c r="L353" i="13"/>
  <c r="K353" i="13"/>
  <c r="J353" i="13"/>
  <c r="E356" i="13" l="1"/>
  <c r="D356" i="13"/>
  <c r="H356" i="13" s="1"/>
  <c r="C356" i="13"/>
  <c r="T355" i="13"/>
  <c r="B357" i="13"/>
  <c r="G355" i="13"/>
  <c r="F351" i="13"/>
  <c r="I351" i="13" s="1"/>
  <c r="O353" i="13"/>
  <c r="P353" i="13" s="1"/>
  <c r="U353" i="13" s="1"/>
  <c r="N354" i="13"/>
  <c r="K354" i="13"/>
  <c r="J354" i="13"/>
  <c r="L354" i="13"/>
  <c r="M354" i="13"/>
  <c r="E357" i="13" l="1"/>
  <c r="D357" i="13"/>
  <c r="C357" i="13"/>
  <c r="T356" i="13"/>
  <c r="B358" i="13"/>
  <c r="G356" i="13"/>
  <c r="F352" i="13"/>
  <c r="I352" i="13" s="1"/>
  <c r="O354" i="13"/>
  <c r="P354" i="13" s="1"/>
  <c r="U354" i="13" s="1"/>
  <c r="K355" i="13"/>
  <c r="J355" i="13"/>
  <c r="M355" i="13"/>
  <c r="N355" i="13"/>
  <c r="L355" i="13"/>
  <c r="H357" i="13" l="1"/>
  <c r="E358" i="13"/>
  <c r="D358" i="13"/>
  <c r="H358" i="13" s="1"/>
  <c r="B359" i="13"/>
  <c r="C358" i="13"/>
  <c r="T357" i="13"/>
  <c r="G357" i="13"/>
  <c r="F353" i="13"/>
  <c r="I353" i="13" s="1"/>
  <c r="O355" i="13"/>
  <c r="P355" i="13" s="1"/>
  <c r="U355" i="13" s="1"/>
  <c r="M356" i="13"/>
  <c r="J356" i="13"/>
  <c r="K356" i="13"/>
  <c r="L356" i="13"/>
  <c r="N356" i="13"/>
  <c r="E359" i="13" l="1"/>
  <c r="D359" i="13"/>
  <c r="C359" i="13"/>
  <c r="T358" i="13"/>
  <c r="B360" i="13"/>
  <c r="G358" i="13"/>
  <c r="F354" i="13"/>
  <c r="I354" i="13" s="1"/>
  <c r="O356" i="13"/>
  <c r="P356" i="13" s="1"/>
  <c r="U356" i="13" s="1"/>
  <c r="N357" i="13"/>
  <c r="L357" i="13"/>
  <c r="K357" i="13"/>
  <c r="J357" i="13"/>
  <c r="M357" i="13"/>
  <c r="H359" i="13" l="1"/>
  <c r="E360" i="13"/>
  <c r="D360" i="13"/>
  <c r="H360" i="13" s="1"/>
  <c r="B361" i="13"/>
  <c r="C360" i="13"/>
  <c r="T359" i="13"/>
  <c r="G359" i="13"/>
  <c r="F355" i="13"/>
  <c r="I355" i="13" s="1"/>
  <c r="O357" i="13"/>
  <c r="P357" i="13" s="1"/>
  <c r="U357" i="13" s="1"/>
  <c r="M358" i="13"/>
  <c r="N358" i="13"/>
  <c r="L358" i="13"/>
  <c r="J358" i="13"/>
  <c r="K358" i="13"/>
  <c r="E361" i="13" l="1"/>
  <c r="D361" i="13"/>
  <c r="H361" i="13" s="1"/>
  <c r="C361" i="13"/>
  <c r="T360" i="13"/>
  <c r="B362" i="13"/>
  <c r="G360" i="13"/>
  <c r="F356" i="13"/>
  <c r="I356" i="13" s="1"/>
  <c r="O358" i="13"/>
  <c r="P358" i="13" s="1"/>
  <c r="U358" i="13" s="1"/>
  <c r="N359" i="13"/>
  <c r="M359" i="13"/>
  <c r="L359" i="13"/>
  <c r="K359" i="13"/>
  <c r="J359" i="13"/>
  <c r="E362" i="13" l="1"/>
  <c r="D362" i="13"/>
  <c r="H362" i="13" s="1"/>
  <c r="B363" i="13"/>
  <c r="C362" i="13"/>
  <c r="T361" i="13"/>
  <c r="G361" i="13"/>
  <c r="F357" i="13"/>
  <c r="I357" i="13" s="1"/>
  <c r="O359" i="13"/>
  <c r="P359" i="13" s="1"/>
  <c r="U359" i="13" s="1"/>
  <c r="N360" i="13"/>
  <c r="M360" i="13"/>
  <c r="L360" i="13"/>
  <c r="K360" i="13"/>
  <c r="J360" i="13"/>
  <c r="E363" i="13" l="1"/>
  <c r="D363" i="13"/>
  <c r="H363" i="13" s="1"/>
  <c r="C363" i="13"/>
  <c r="T362" i="13"/>
  <c r="B364" i="13"/>
  <c r="G362" i="13"/>
  <c r="F358" i="13"/>
  <c r="I358" i="13" s="1"/>
  <c r="O360" i="13"/>
  <c r="P360" i="13" s="1"/>
  <c r="U360" i="13" s="1"/>
  <c r="N361" i="13"/>
  <c r="M361" i="13"/>
  <c r="L361" i="13"/>
  <c r="J361" i="13"/>
  <c r="K361" i="13"/>
  <c r="E364" i="13" l="1"/>
  <c r="D364" i="13"/>
  <c r="H364" i="13" s="1"/>
  <c r="B365" i="13"/>
  <c r="C364" i="13"/>
  <c r="T363" i="13"/>
  <c r="G363" i="13"/>
  <c r="F359" i="13"/>
  <c r="I359" i="13" s="1"/>
  <c r="O361" i="13"/>
  <c r="P361" i="13" s="1"/>
  <c r="U361" i="13" s="1"/>
  <c r="N362" i="13"/>
  <c r="K362" i="13"/>
  <c r="J362" i="13"/>
  <c r="M362" i="13"/>
  <c r="L362" i="13"/>
  <c r="E365" i="13" l="1"/>
  <c r="D365" i="13"/>
  <c r="C365" i="13"/>
  <c r="T364" i="13"/>
  <c r="B366" i="13"/>
  <c r="G364" i="13"/>
  <c r="F360" i="13"/>
  <c r="I360" i="13" s="1"/>
  <c r="O362" i="13"/>
  <c r="P362" i="13" s="1"/>
  <c r="U362" i="13" s="1"/>
  <c r="J363" i="13"/>
  <c r="K363" i="13"/>
  <c r="N363" i="13"/>
  <c r="L363" i="13"/>
  <c r="M363" i="13"/>
  <c r="H365" i="13" l="1"/>
  <c r="E366" i="13"/>
  <c r="D366" i="13"/>
  <c r="H366" i="13" s="1"/>
  <c r="B367" i="13"/>
  <c r="C366" i="13"/>
  <c r="T365" i="13"/>
  <c r="G365" i="13"/>
  <c r="F361" i="13"/>
  <c r="I361" i="13" s="1"/>
  <c r="O363" i="13"/>
  <c r="P363" i="13" s="1"/>
  <c r="U363" i="13" s="1"/>
  <c r="N364" i="13"/>
  <c r="M364" i="13"/>
  <c r="L364" i="13"/>
  <c r="J364" i="13"/>
  <c r="K364" i="13"/>
  <c r="E367" i="13" l="1"/>
  <c r="D367" i="13"/>
  <c r="C367" i="13"/>
  <c r="T366" i="13"/>
  <c r="B368" i="13"/>
  <c r="G366" i="13"/>
  <c r="F362" i="13"/>
  <c r="I362" i="13" s="1"/>
  <c r="O364" i="13"/>
  <c r="P364" i="13" s="1"/>
  <c r="U364" i="13" s="1"/>
  <c r="K365" i="13"/>
  <c r="J365" i="13"/>
  <c r="M365" i="13"/>
  <c r="N365" i="13"/>
  <c r="L365" i="13"/>
  <c r="H367" i="13" l="1"/>
  <c r="E368" i="13"/>
  <c r="D368" i="13"/>
  <c r="H368" i="13" s="1"/>
  <c r="B369" i="13"/>
  <c r="C368" i="13"/>
  <c r="T367" i="13"/>
  <c r="G367" i="13"/>
  <c r="F363" i="13"/>
  <c r="I363" i="13" s="1"/>
  <c r="O365" i="13"/>
  <c r="P365" i="13" s="1"/>
  <c r="U365" i="13" s="1"/>
  <c r="L366" i="13"/>
  <c r="N366" i="13"/>
  <c r="J366" i="13"/>
  <c r="M366" i="13"/>
  <c r="K366" i="13"/>
  <c r="E369" i="13" l="1"/>
  <c r="D369" i="13"/>
  <c r="H369" i="13" s="1"/>
  <c r="C369" i="13"/>
  <c r="T368" i="13"/>
  <c r="B370" i="13"/>
  <c r="G368" i="13"/>
  <c r="F364" i="13"/>
  <c r="I364" i="13" s="1"/>
  <c r="O366" i="13"/>
  <c r="P366" i="13" s="1"/>
  <c r="U366" i="13" s="1"/>
  <c r="N367" i="13"/>
  <c r="M367" i="13"/>
  <c r="L367" i="13"/>
  <c r="K367" i="13"/>
  <c r="J367" i="13"/>
  <c r="E370" i="13" l="1"/>
  <c r="D370" i="13"/>
  <c r="H370" i="13" s="1"/>
  <c r="B371" i="13"/>
  <c r="C370" i="13"/>
  <c r="T369" i="13"/>
  <c r="G369" i="13"/>
  <c r="F365" i="13"/>
  <c r="I365" i="13" s="1"/>
  <c r="O367" i="13"/>
  <c r="P367" i="13" s="1"/>
  <c r="U367" i="13" s="1"/>
  <c r="N368" i="13"/>
  <c r="M368" i="13"/>
  <c r="L368" i="13"/>
  <c r="K368" i="13"/>
  <c r="J368" i="13"/>
  <c r="E371" i="13" l="1"/>
  <c r="D371" i="13"/>
  <c r="H371" i="13" s="1"/>
  <c r="C371" i="13"/>
  <c r="T370" i="13"/>
  <c r="B372" i="13"/>
  <c r="G370" i="13"/>
  <c r="F366" i="13"/>
  <c r="I366" i="13" s="1"/>
  <c r="O368" i="13"/>
  <c r="P368" i="13" s="1"/>
  <c r="U368" i="13" s="1"/>
  <c r="N369" i="13"/>
  <c r="M369" i="13"/>
  <c r="L369" i="13"/>
  <c r="J369" i="13"/>
  <c r="K369" i="13"/>
  <c r="E372" i="13" l="1"/>
  <c r="D372" i="13"/>
  <c r="B373" i="13"/>
  <c r="C372" i="13"/>
  <c r="T371" i="13"/>
  <c r="G371" i="13"/>
  <c r="F367" i="13"/>
  <c r="I367" i="13" s="1"/>
  <c r="O369" i="13"/>
  <c r="P369" i="13" s="1"/>
  <c r="U369" i="13" s="1"/>
  <c r="N370" i="13"/>
  <c r="K370" i="13"/>
  <c r="J370" i="13"/>
  <c r="M370" i="13"/>
  <c r="L370" i="13"/>
  <c r="H372" i="13" l="1"/>
  <c r="E373" i="13"/>
  <c r="D373" i="13"/>
  <c r="C373" i="13"/>
  <c r="T372" i="13"/>
  <c r="B374" i="13"/>
  <c r="G372" i="13"/>
  <c r="F368" i="13"/>
  <c r="I368" i="13" s="1"/>
  <c r="O370" i="13"/>
  <c r="P370" i="13" s="1"/>
  <c r="U370" i="13" s="1"/>
  <c r="K371" i="13"/>
  <c r="J371" i="13"/>
  <c r="M371" i="13"/>
  <c r="N371" i="13"/>
  <c r="L371" i="13"/>
  <c r="H373" i="13" l="1"/>
  <c r="E374" i="13"/>
  <c r="D374" i="13"/>
  <c r="H374" i="13" s="1"/>
  <c r="B375" i="13"/>
  <c r="C374" i="13"/>
  <c r="T373" i="13"/>
  <c r="G373" i="13"/>
  <c r="F369" i="13"/>
  <c r="I369" i="13" s="1"/>
  <c r="O371" i="13"/>
  <c r="P371" i="13" s="1"/>
  <c r="U371" i="13" s="1"/>
  <c r="L372" i="13"/>
  <c r="M372" i="13"/>
  <c r="K372" i="13"/>
  <c r="N372" i="13"/>
  <c r="J372" i="13"/>
  <c r="E375" i="13" l="1"/>
  <c r="D375" i="13"/>
  <c r="H375" i="13" s="1"/>
  <c r="B376" i="13"/>
  <c r="C375" i="13"/>
  <c r="T374" i="13"/>
  <c r="G374" i="13"/>
  <c r="F370" i="13"/>
  <c r="I370" i="13" s="1"/>
  <c r="O372" i="13"/>
  <c r="P372" i="13" s="1"/>
  <c r="U372" i="13" s="1"/>
  <c r="N373" i="13"/>
  <c r="K373" i="13"/>
  <c r="J373" i="13"/>
  <c r="M373" i="13"/>
  <c r="L373" i="13"/>
  <c r="D376" i="13" l="1"/>
  <c r="E376" i="13"/>
  <c r="C376" i="13"/>
  <c r="T375" i="13"/>
  <c r="B377" i="13"/>
  <c r="G375" i="13"/>
  <c r="F371" i="13"/>
  <c r="I371" i="13" s="1"/>
  <c r="O373" i="13"/>
  <c r="P373" i="13" s="1"/>
  <c r="U373" i="13" s="1"/>
  <c r="N374" i="13"/>
  <c r="M374" i="13"/>
  <c r="K374" i="13"/>
  <c r="L374" i="13"/>
  <c r="J374" i="13"/>
  <c r="H376" i="13" l="1"/>
  <c r="E377" i="13"/>
  <c r="D377" i="13"/>
  <c r="H377" i="13" s="1"/>
  <c r="B378" i="13"/>
  <c r="N377" i="13"/>
  <c r="M377" i="13"/>
  <c r="C377" i="13"/>
  <c r="T376" i="13"/>
  <c r="G376" i="13"/>
  <c r="F372" i="13"/>
  <c r="I372" i="13" s="1"/>
  <c r="O374" i="13"/>
  <c r="P374" i="13" s="1"/>
  <c r="U374" i="13" s="1"/>
  <c r="N375" i="13"/>
  <c r="L375" i="13"/>
  <c r="K375" i="13"/>
  <c r="J375" i="13"/>
  <c r="M375" i="13"/>
  <c r="E378" i="13" l="1"/>
  <c r="D378" i="13"/>
  <c r="H378" i="13" s="1"/>
  <c r="C378" i="13"/>
  <c r="T378" i="13" s="1"/>
  <c r="T377" i="13"/>
  <c r="B379" i="13"/>
  <c r="M378" i="13"/>
  <c r="N378" i="13"/>
  <c r="F378" i="13"/>
  <c r="G378" i="13"/>
  <c r="G377" i="13"/>
  <c r="F373" i="13"/>
  <c r="I373" i="13" s="1"/>
  <c r="O375" i="13"/>
  <c r="P375" i="13" s="1"/>
  <c r="U375" i="13" s="1"/>
  <c r="N376" i="13"/>
  <c r="M376" i="13"/>
  <c r="L376" i="13"/>
  <c r="K376" i="13"/>
  <c r="J376" i="13"/>
  <c r="E379" i="13" l="1"/>
  <c r="D379" i="13"/>
  <c r="O378" i="13"/>
  <c r="P378" i="13"/>
  <c r="U378" i="13" s="1"/>
  <c r="B380" i="13"/>
  <c r="N379" i="13"/>
  <c r="P379" i="13"/>
  <c r="O379" i="13"/>
  <c r="M379" i="13"/>
  <c r="C379" i="13"/>
  <c r="T379" i="13" s="1"/>
  <c r="G379" i="13"/>
  <c r="F379" i="13"/>
  <c r="F374" i="13"/>
  <c r="I374" i="13" s="1"/>
  <c r="O376" i="13"/>
  <c r="P376" i="13" s="1"/>
  <c r="U376" i="13" s="1"/>
  <c r="L377" i="13"/>
  <c r="K377" i="13"/>
  <c r="J377" i="13"/>
  <c r="H379" i="13" l="1"/>
  <c r="E380" i="13"/>
  <c r="D380" i="13"/>
  <c r="H380" i="13" s="1"/>
  <c r="U379" i="13"/>
  <c r="B381" i="13"/>
  <c r="M380" i="13"/>
  <c r="O380" i="13"/>
  <c r="N380" i="13"/>
  <c r="P380" i="13"/>
  <c r="F380" i="13"/>
  <c r="G380" i="13"/>
  <c r="C380" i="13"/>
  <c r="T380" i="13" s="1"/>
  <c r="U380" i="13" s="1"/>
  <c r="F375" i="13"/>
  <c r="I375" i="13" s="1"/>
  <c r="O377" i="13"/>
  <c r="P377" i="13" s="1"/>
  <c r="U377" i="13" s="1"/>
  <c r="E381" i="13" l="1"/>
  <c r="D381" i="13"/>
  <c r="H381" i="13" s="1"/>
  <c r="B382" i="13"/>
  <c r="P381" i="13"/>
  <c r="M381" i="13"/>
  <c r="O381" i="13"/>
  <c r="N381" i="13"/>
  <c r="F381" i="13"/>
  <c r="G381" i="13"/>
  <c r="C381" i="13"/>
  <c r="T381" i="13" s="1"/>
  <c r="U381" i="13" s="1"/>
  <c r="F376" i="13"/>
  <c r="I376" i="13" s="1"/>
  <c r="E382" i="13" l="1"/>
  <c r="D382" i="13"/>
  <c r="H382" i="13" s="1"/>
  <c r="B383" i="13"/>
  <c r="P382" i="13"/>
  <c r="M382" i="13"/>
  <c r="O382" i="13"/>
  <c r="N382" i="13"/>
  <c r="C382" i="13"/>
  <c r="T382" i="13" s="1"/>
  <c r="U382" i="13" s="1"/>
  <c r="F382" i="13"/>
  <c r="G382" i="13"/>
  <c r="F377" i="13"/>
  <c r="I377" i="13" s="1"/>
  <c r="E383" i="13" l="1"/>
  <c r="D383" i="13"/>
  <c r="B384" i="13"/>
  <c r="P383" i="13"/>
  <c r="M383" i="13"/>
  <c r="O383" i="13"/>
  <c r="N383" i="13"/>
  <c r="G383" i="13"/>
  <c r="C383" i="13"/>
  <c r="T383" i="13" s="1"/>
  <c r="U383" i="13" s="1"/>
  <c r="F383" i="13"/>
  <c r="H383" i="13" l="1"/>
  <c r="D384" i="13"/>
  <c r="E384" i="13"/>
  <c r="B385" i="13"/>
  <c r="M384" i="13"/>
  <c r="O384" i="13"/>
  <c r="P384" i="13"/>
  <c r="N384" i="13"/>
  <c r="F384" i="13"/>
  <c r="G384" i="13"/>
  <c r="C384" i="13"/>
  <c r="T384" i="13" s="1"/>
  <c r="U384" i="13" s="1"/>
  <c r="H384" i="13" l="1"/>
  <c r="E385" i="13"/>
  <c r="D385" i="13"/>
  <c r="P385" i="13"/>
  <c r="N385" i="13"/>
  <c r="O385" i="13"/>
  <c r="C10" i="13" s="1"/>
  <c r="M385" i="13"/>
  <c r="C9" i="13"/>
  <c r="F385" i="13"/>
  <c r="G385" i="13"/>
  <c r="C385" i="13"/>
  <c r="T385" i="13" s="1"/>
  <c r="H385" i="13" l="1"/>
  <c r="X3" i="13"/>
  <c r="U385" i="13"/>
  <c r="N22" i="28"/>
  <c r="O22" i="28" s="1"/>
  <c r="T22" i="28" s="1"/>
  <c r="F6" i="13"/>
  <c r="F6" i="28"/>
  <c r="L54" i="9" l="1"/>
  <c r="C10" i="28"/>
  <c r="L17" i="27"/>
</calcChain>
</file>

<file path=xl/sharedStrings.xml><?xml version="1.0" encoding="utf-8"?>
<sst xmlns="http://schemas.openxmlformats.org/spreadsheetml/2006/main" count="370" uniqueCount="134">
  <si>
    <t>Loan Value</t>
  </si>
  <si>
    <t>Loan Tenor</t>
  </si>
  <si>
    <t>Principal</t>
  </si>
  <si>
    <t>S.No.</t>
  </si>
  <si>
    <t>Monthly Payment Date</t>
  </si>
  <si>
    <t>Principal payment</t>
  </si>
  <si>
    <t>Total Payment</t>
  </si>
  <si>
    <t>APR</t>
  </si>
  <si>
    <t>Service Charge</t>
  </si>
  <si>
    <t>Balloon Payment</t>
  </si>
  <si>
    <t>Cumulative Principal</t>
  </si>
  <si>
    <t>Remaining Principal</t>
  </si>
  <si>
    <t>Balloon Payment Amount</t>
  </si>
  <si>
    <t>Frequency</t>
  </si>
  <si>
    <t>APR Calculation Tool</t>
  </si>
  <si>
    <t>Total Charges</t>
  </si>
  <si>
    <t>Total Amount Paid</t>
  </si>
  <si>
    <t>Loan period in months</t>
  </si>
  <si>
    <t>Personal Finance Details</t>
  </si>
  <si>
    <t>Loan Details</t>
  </si>
  <si>
    <t>Auto Finance Details</t>
  </si>
  <si>
    <t>Credit Card</t>
  </si>
  <si>
    <t>APR Calculator</t>
  </si>
  <si>
    <t>Total Admin fee</t>
  </si>
  <si>
    <t>Charges per frequency</t>
  </si>
  <si>
    <t>Total Charges applicable  on the overall Loan Tenor</t>
  </si>
  <si>
    <t>Fee/Charges</t>
  </si>
  <si>
    <t>Definition</t>
  </si>
  <si>
    <t>Insurance Charges</t>
  </si>
  <si>
    <t>VAT Charges</t>
  </si>
  <si>
    <t>VAT charged on Administration fees, Annual fee and insurance charges</t>
  </si>
  <si>
    <t>Valuation fee</t>
  </si>
  <si>
    <t>Administration fee + related VAT</t>
  </si>
  <si>
    <t>Annual fee +related VAT</t>
  </si>
  <si>
    <t>Insurance + related VAT</t>
  </si>
  <si>
    <t>Valuation fee + related VAT</t>
  </si>
  <si>
    <t>Contractual Date</t>
  </si>
  <si>
    <t>Grace Period (in months)</t>
  </si>
  <si>
    <t>Payment Start Date</t>
  </si>
  <si>
    <t>Payment Schedule</t>
  </si>
  <si>
    <t>Date</t>
  </si>
  <si>
    <t>Amount</t>
  </si>
  <si>
    <t>Payment End Date</t>
  </si>
  <si>
    <t>Instructions for the Template</t>
  </si>
  <si>
    <t>Color Scheme used in the template</t>
  </si>
  <si>
    <t>Section Headers</t>
  </si>
  <si>
    <t>Information is required in percentage</t>
  </si>
  <si>
    <t>Information is required in numbers</t>
  </si>
  <si>
    <t>Information is required in date</t>
  </si>
  <si>
    <t>Auto calculated cells</t>
  </si>
  <si>
    <t>Information should be populated through dropdown selection</t>
  </si>
  <si>
    <t>Sub Headers</t>
  </si>
  <si>
    <t>Input fields</t>
  </si>
  <si>
    <t>Card Allotment/Approval date</t>
  </si>
  <si>
    <t xml:space="preserve">Any other fee </t>
  </si>
  <si>
    <t>Any other fee</t>
  </si>
  <si>
    <t>Any other charges</t>
  </si>
  <si>
    <t>Any other Fee</t>
  </si>
  <si>
    <t>Real Estate Finance Details</t>
  </si>
  <si>
    <t>Payment Date</t>
  </si>
  <si>
    <t>Insurance Year</t>
  </si>
  <si>
    <t>Insurance Rate</t>
  </si>
  <si>
    <t>Car Price</t>
  </si>
  <si>
    <t>Charges per year</t>
  </si>
  <si>
    <t>Payment Lookup</t>
  </si>
  <si>
    <t>Insurance + related VAT*</t>
  </si>
  <si>
    <t>Any Charges paid upfront (including VAT)</t>
  </si>
  <si>
    <t>Upfront payment</t>
  </si>
  <si>
    <t>1st Installment</t>
  </si>
  <si>
    <t>Monthly</t>
  </si>
  <si>
    <t>Annual</t>
  </si>
  <si>
    <t>Credit Card Limit</t>
  </si>
  <si>
    <t>Schedule of monthly dates when the payment of the facility is due assumed as month end date based on the payment start date and tenor.</t>
  </si>
  <si>
    <t>Remaining principal amount post principal payment.</t>
  </si>
  <si>
    <t>Key Terms</t>
  </si>
  <si>
    <t>Any other fee charged to the borrower related to the financing of the facility e.g., brokerage fee in case of commodity Murahabah.</t>
  </si>
  <si>
    <t>Key Terms and Definitions</t>
  </si>
  <si>
    <t>Update the installment schedule i.e., payment date and payment amount received</t>
  </si>
  <si>
    <t>Depreciation Rate</t>
  </si>
  <si>
    <t>* Including property insurance or/and life insurance charge if charged to the customer separately other than the financing cost</t>
  </si>
  <si>
    <t>APR Calculator for Inconsistent Installments</t>
  </si>
  <si>
    <t>The principal payment paid by the borrower as a part of payment schedule.</t>
  </si>
  <si>
    <t>Cumulative principal payment representing the total payment received till selected payment date/month.</t>
  </si>
  <si>
    <t>Fee charged to the borrowers for obtaining a loan. This would include the fee incurred during the time of application and anything charged post approval of the loan i.e., while processing and sanctioning of the loan (including any documentation and underwriting fee charged). This will be a onetime fee charged to the customers.</t>
  </si>
  <si>
    <t>Fee charged to the borrowers on an annual basis as a renewal/maintenance charge applicable to any facility but specifically to Credit Cards including any protection charges (where applicable).</t>
  </si>
  <si>
    <t>Insurance charges deducted in the form of installments on secured lending i.e., insurance premium charged for the vehicle or the mortgage property (as applicable) and credit cards.</t>
  </si>
  <si>
    <t>Fees/Charges</t>
  </si>
  <si>
    <t>Valuation fee charged to the customer in regard to property valuation for Real Estate Finance</t>
  </si>
  <si>
    <t>Average premium including VAT</t>
  </si>
  <si>
    <t xml:space="preserve">The IRR is the rate at which the net present value of all future cash inflows and outflows is zero. Contrary to IRR formula, the XIRR formula used for the calculation of APR takes into consideration the dates when the cashflows occur. It additionally provides flexibility for calculating the internal rate of return for cashflows with unequal timings and scenarios such as grace period, where the payments should be considered zero for a given period. </t>
  </si>
  <si>
    <t>Yes, since the VAT is associated with the charges/fees in relation to the financing by the borrower. We understand it is collected on behalf of ZATCA/Tax authority; however, the borrower is paying that as part of the financing fees to FIs. Hence, it should be a part of the APR calculation.</t>
  </si>
  <si>
    <r>
      <t xml:space="preserve">For cases where installment amounts are different across periods (e.g., </t>
    </r>
    <r>
      <rPr>
        <sz val="14"/>
        <color rgb="FF222222"/>
        <rFont val="Sakkal Majalla"/>
      </rPr>
      <t>50/50 financing)</t>
    </r>
    <r>
      <rPr>
        <sz val="14"/>
        <color theme="1"/>
        <rFont val="Sakkal Majalla"/>
      </rPr>
      <t>, the APR should be derived using the “Inconsistent Installments” tab in the calculator where the following fields need to be updated/populated by the FI:</t>
    </r>
  </si>
  <si>
    <t>b) Any charges paid upfront by the borrower (on signing the contract) – generally administration charges</t>
  </si>
  <si>
    <t xml:space="preserve">c) Contractual date – signing date of the contract </t>
  </si>
  <si>
    <t>SAR 10,000 needs to be considered with a repayment period of one-year to calculate the APR.</t>
  </si>
  <si>
    <t>The APR calculator can be used at a single product level. For the 2 in 1 product, the computation and disclosure of the APR for each of the underlying products shall be performed separately i.e., at the level of each product.</t>
  </si>
  <si>
    <r>
      <t>1.</t>
    </r>
    <r>
      <rPr>
        <b/>
        <sz val="7"/>
        <color theme="0"/>
        <rFont val="Times New Roman"/>
        <family val="1"/>
      </rPr>
      <t xml:space="preserve">             </t>
    </r>
    <r>
      <rPr>
        <b/>
        <sz val="14"/>
        <color theme="0"/>
        <rFont val="Sakkal Majalla"/>
      </rPr>
      <t>What is the key difference between the existing IRR and the new XIRR formula used for the APR calculation?</t>
    </r>
  </si>
  <si>
    <r>
      <t>2.</t>
    </r>
    <r>
      <rPr>
        <b/>
        <sz val="7"/>
        <color theme="0"/>
        <rFont val="Times New Roman"/>
        <family val="1"/>
      </rPr>
      <t xml:space="preserve">             </t>
    </r>
    <r>
      <rPr>
        <b/>
        <sz val="14"/>
        <color theme="0"/>
        <rFont val="Sakkal Majalla"/>
      </rPr>
      <t>Should VAT be considered as a part of the administrative fee, insurance, valuation, or any other relevant financing fee for the APR calculation?</t>
    </r>
  </si>
  <si>
    <r>
      <t>3.</t>
    </r>
    <r>
      <rPr>
        <b/>
        <sz val="7"/>
        <color theme="0"/>
        <rFont val="Times New Roman"/>
        <family val="1"/>
      </rPr>
      <t xml:space="preserve">             </t>
    </r>
    <r>
      <rPr>
        <b/>
        <sz val="14"/>
        <color theme="0"/>
        <rFont val="Sakkal Majalla"/>
      </rPr>
      <t>What type of insurance should be considered for APR calculation?</t>
    </r>
  </si>
  <si>
    <r>
      <t>4.</t>
    </r>
    <r>
      <rPr>
        <b/>
        <sz val="7"/>
        <color theme="0"/>
        <rFont val="Times New Roman"/>
        <family val="1"/>
      </rPr>
      <t xml:space="preserve">             </t>
    </r>
    <r>
      <rPr>
        <b/>
        <sz val="14"/>
        <color theme="0"/>
        <rFont val="Sakkal Majalla"/>
      </rPr>
      <t>How can we calculate the APR for inconsistent installments for e.g., step-up, and step-down installments?</t>
    </r>
  </si>
  <si>
    <r>
      <t>5.</t>
    </r>
    <r>
      <rPr>
        <b/>
        <sz val="7"/>
        <color theme="0"/>
        <rFont val="Times New Roman"/>
        <family val="1"/>
      </rPr>
      <t xml:space="preserve">             </t>
    </r>
    <r>
      <rPr>
        <b/>
        <sz val="14"/>
        <color theme="0"/>
        <rFont val="Sakkal Majalla"/>
      </rPr>
      <t>In case of credit card, what loan amount should be considered for the calculation of APR to be disclosed with borrowers?</t>
    </r>
  </si>
  <si>
    <r>
      <t>6.</t>
    </r>
    <r>
      <rPr>
        <b/>
        <sz val="7"/>
        <color theme="0"/>
        <rFont val="Times New Roman"/>
        <family val="1"/>
      </rPr>
      <t xml:space="preserve">             </t>
    </r>
    <r>
      <rPr>
        <b/>
        <sz val="14"/>
        <color theme="0"/>
        <rFont val="Sakkal Majalla"/>
      </rPr>
      <t>How should the APR be calculated for the 2 in 1 product?</t>
    </r>
  </si>
  <si>
    <t>Avg. Charges per frequency</t>
  </si>
  <si>
    <t>Example (1) Calculation of APR on Personal Financing</t>
  </si>
  <si>
    <t>Financing 
Information</t>
  </si>
  <si>
    <t>APR Calculation</t>
  </si>
  <si>
    <t>Example (2) Calculation of APR on Auto Financing</t>
  </si>
  <si>
    <t>Example (3) Calculation of APR on Real Estate Financing</t>
  </si>
  <si>
    <t>Example (4) Calculation of APR on Credit Cards</t>
  </si>
  <si>
    <r>
      <rPr>
        <b/>
        <sz val="9"/>
        <color theme="1"/>
        <rFont val="Cambria"/>
        <family val="1"/>
      </rPr>
      <t xml:space="preserve">where: </t>
    </r>
    <r>
      <rPr>
        <sz val="9"/>
        <color theme="1"/>
        <rFont val="Cambria"/>
        <family val="1"/>
      </rPr>
      <t xml:space="preserve">
1. "t" corresponds to the number of days between the cash flow date and the contractual date. 
2. "n" corresponds to the last cash flow.
3. For the purpose of examples illustration, the total number of days in the year assumed at 365 (i.e. not a leap year).</t>
    </r>
  </si>
  <si>
    <t>Auto calculated cells / Fixed Input</t>
  </si>
  <si>
    <r>
      <t xml:space="preserve">For </t>
    </r>
    <r>
      <rPr>
        <b/>
        <sz val="14"/>
        <color theme="1"/>
        <rFont val="Sakkal Majalla"/>
      </rPr>
      <t>Auto Financing</t>
    </r>
    <r>
      <rPr>
        <sz val="14"/>
        <color theme="1"/>
        <rFont val="Sakkal Majalla"/>
      </rPr>
      <t xml:space="preserve">, the vehicle insurance is included in APR calculation where the insurance charge should be calculated based on the depreciated value of the vehicle.  There are two possible scenarios: 
</t>
    </r>
    <r>
      <rPr>
        <b/>
        <sz val="14"/>
        <color theme="1"/>
        <rFont val="Sakkal Majalla"/>
      </rPr>
      <t xml:space="preserve">Scenario 1: </t>
    </r>
    <r>
      <rPr>
        <sz val="14"/>
        <color theme="1"/>
        <rFont val="Sakkal Majalla"/>
      </rPr>
      <t xml:space="preserve">The insurance premium is payable in equal monthly installments over the full facility tenor.
</t>
    </r>
    <r>
      <rPr>
        <b/>
        <sz val="14"/>
        <color theme="1"/>
        <rFont val="Sakkal Majalla"/>
      </rPr>
      <t xml:space="preserve">Scenario 2: </t>
    </r>
    <r>
      <rPr>
        <sz val="14"/>
        <color theme="1"/>
        <rFont val="Sakkal Majalla"/>
      </rPr>
      <t>The insurance premium is payable in equal monthly installments during a given year.</t>
    </r>
  </si>
  <si>
    <r>
      <t>For</t>
    </r>
    <r>
      <rPr>
        <b/>
        <sz val="14"/>
        <color theme="1"/>
        <rFont val="Sakkal Majalla"/>
      </rPr>
      <t xml:space="preserve"> Real Estate Financing,</t>
    </r>
    <r>
      <rPr>
        <sz val="14"/>
        <color theme="1"/>
        <rFont val="Sakkal Majalla"/>
      </rPr>
      <t xml:space="preserve"> if the FI is charging insurance to the borrower i.e., either property insurance charges or life insurance charges or both, it should be a part of the APR calculation.</t>
    </r>
  </si>
  <si>
    <r>
      <t xml:space="preserve">For </t>
    </r>
    <r>
      <rPr>
        <b/>
        <sz val="14"/>
        <color theme="1"/>
        <rFont val="Sakkal Majalla"/>
      </rPr>
      <t>Credit Cards</t>
    </r>
    <r>
      <rPr>
        <sz val="14"/>
        <color theme="1"/>
        <rFont val="Sakkal Majalla"/>
      </rPr>
      <t>, only in cases where the insurance is charged to the borrower based on a previous agreement, it should be included in the APR calculation.</t>
    </r>
  </si>
  <si>
    <t>Term Cost</t>
  </si>
  <si>
    <t>Cumulative Term Cost</t>
  </si>
  <si>
    <t>Term cost payment paid by the borrower as a part of payment schedule.</t>
  </si>
  <si>
    <t>Cumulative Term Cost received representing the total term cost received till selected payment date/month.</t>
  </si>
  <si>
    <t>Total fees/charges charged by the FI over and above the principal and term cost.</t>
  </si>
  <si>
    <t>Total payment i.e., principal, term cost and fees/charges paid by the borrower for each payment date/month.</t>
  </si>
  <si>
    <t>Total facility payment i.e., principal and term cost for each payment date/month.</t>
  </si>
  <si>
    <t>Annual Term Cost</t>
  </si>
  <si>
    <t xml:space="preserve">Term Cost </t>
  </si>
  <si>
    <t>Personal financing of SAR 20,000 with term cost of 3.2% for a term of 24 months. The Application fee (inclusive of VAT) charged for financing is SAR 200, charged upfront to the consumer in the beginning.</t>
  </si>
  <si>
    <t>Auto financing of SAR 300,000 with term cost of 5.2% for a term of 60 months. The Application fee (inclusive of VAT) charged for financing is SAR 3,000, charged upfront to the consumer in the beginning. The value of car is SAR 320,000 and insurace is charged at a rate of 3% paid on a monthly  basis (average insurance premium).</t>
  </si>
  <si>
    <t>Credit Card of limit SAR 50,000 with a term cost of 10%. An application fee of SAR 115 is charged upfront to the customer. An annual insurance charge (including VAT) of SAR 25 is charged which will be paid at the year end to the customer.</t>
  </si>
  <si>
    <t>Residential real-estate financing of SAR 1,500,000 with a term cost of 2.35% for a term of 360 months. The Application fee (inclusive of VAT) charged for financing is SAR 2,000 charged upfront. Valuation fee (inclusive of VAT) of SAR 3,000 is charged on an annual frequency to the customer.</t>
  </si>
  <si>
    <t>d) Cash-flows ensuring it incorporates principal, term cost and any other fee/charges related to financing as mentioned in the template based on the product.</t>
  </si>
  <si>
    <t>Annual term cost</t>
  </si>
  <si>
    <t xml:space="preserve">Amount of Financing / Principal </t>
  </si>
  <si>
    <t>The Amount of financing /Principal of the loan to the borrower on the initial loan date. (In the APR Calculator, the principal is net of the down payment amount, where applicable)</t>
  </si>
  <si>
    <t xml:space="preserve">Principal </t>
  </si>
  <si>
    <r>
      <t>The Input sheet in this template needs to be populated based on the defined color scheme. The other sheets do not require any input.
1. Principal is the amount provided to the customer post any down payment settlements.
2. Contractual Date is the start date of the contract.
3. Grace period is the number of months waived off before the contractual payment will start. In case there is no grace period provided to the customer, the value remains 0.
4. Payment Start Date is the date from which the monthly contractual payments will start i.e., month end of the contract date in case of no grace period and month end post grace period.
5. The Fee/charges needs to be populated as the total charges for the specific type of charges including the 15% VAT . For e.g., if the annual insurance charged is SAR 200 and the tenor of the loan is 60 months or 5 years, then the value to be populated in column I should be SAR 200*5 = SAR 1000 + 15%VAT.</t>
    </r>
    <r>
      <rPr>
        <i/>
        <u/>
        <sz val="9"/>
        <color theme="1"/>
        <rFont val="Cambria"/>
        <family val="1"/>
      </rPr>
      <t xml:space="preserve"> All fees, costs and administrative services charges to be recovered from the Borrower by the Creditor must not exceed the equivalent of (1%) of the Amount of Financing or (5,000) five thousand Saudi riyals, whichever is lower.</t>
    </r>
    <r>
      <rPr>
        <sz val="9"/>
        <color theme="1"/>
        <rFont val="Cambria"/>
        <family val="1"/>
      </rPr>
      <t xml:space="preserve">
6. Select the frequency for each Fee/Charge from the drop-down list; charges per frequency will be calculated accordingly.
7. If the Balloon payment is optional, the cell value can be zero or blank.</t>
    </r>
  </si>
  <si>
    <t xml:space="preserve">a) Principal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</si>
</sst>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 numFmtId="167" formatCode="_(* #,##0.00000000_);_(* \(#,##0.00000000\);_(* &quot;-&quot;??_);_(@_)"/>
    <numFmt numFmtId="168" formatCode="0.0000000%"/>
    <numFmt numFmtId="169" formatCode="_(* #,##0.0_);_(* \(#,##0.0\);_(* &quot;-&quot;?_);_(@_)"/>
    <numFmt numFmtId="170" formatCode="0.0000000000%"/>
    <numFmt numFmtId="171" formatCode="0.0000%"/>
    <numFmt numFmtId="172" formatCode="0.000"/>
    <numFmt numFmtId="173" formatCode="0.0"/>
    <numFmt numFmtId="174" formatCode="_(* #,##0.0000_);_(* \(#,##0.0000\);_(* &quot;-&quot;??_);_(@_)"/>
  </numFmts>
  <fonts count="25">
    <font>
      <sz val="11"/>
      <color theme="1"/>
      <name val="Calibri"/>
      <family val="2"/>
      <scheme val="minor"/>
    </font>
    <font>
      <sz val="11"/>
      <color theme="1"/>
      <name val="Calibri"/>
      <family val="2"/>
      <scheme val="minor"/>
    </font>
    <font>
      <sz val="9"/>
      <color theme="1"/>
      <name val="Cambria"/>
      <family val="1"/>
    </font>
    <font>
      <b/>
      <sz val="9"/>
      <color theme="0"/>
      <name val="Cambria"/>
      <family val="1"/>
    </font>
    <font>
      <b/>
      <sz val="9"/>
      <color theme="1"/>
      <name val="Cambria"/>
      <family val="1"/>
    </font>
    <font>
      <sz val="10"/>
      <color theme="1"/>
      <name val="Cambria"/>
      <family val="1"/>
    </font>
    <font>
      <b/>
      <sz val="10"/>
      <color rgb="FF333333"/>
      <name val="Cambria"/>
      <family val="1"/>
    </font>
    <font>
      <b/>
      <sz val="10"/>
      <color theme="1"/>
      <name val="Cambria"/>
      <family val="1"/>
    </font>
    <font>
      <b/>
      <sz val="10"/>
      <color theme="0"/>
      <name val="Cambria"/>
      <family val="1"/>
    </font>
    <font>
      <sz val="9"/>
      <name val="Cambria"/>
      <family val="1"/>
    </font>
    <font>
      <sz val="10"/>
      <color rgb="FF666666"/>
      <name val="Open Sans"/>
      <family val="2"/>
    </font>
    <font>
      <b/>
      <sz val="9"/>
      <color rgb="FFFF0000"/>
      <name val="Cambria"/>
      <family val="1"/>
    </font>
    <font>
      <sz val="9"/>
      <color rgb="FFFF0000"/>
      <name val="Cambria"/>
      <family val="1"/>
    </font>
    <font>
      <b/>
      <sz val="11"/>
      <color theme="0"/>
      <name val="Calibri"/>
      <family val="2"/>
      <scheme val="minor"/>
    </font>
    <font>
      <sz val="10"/>
      <color rgb="FF000000"/>
      <name val="Cambria"/>
      <family val="1"/>
    </font>
    <font>
      <i/>
      <u/>
      <sz val="9"/>
      <color theme="1"/>
      <name val="Cambria"/>
      <family val="1"/>
    </font>
    <font>
      <sz val="14"/>
      <color theme="1"/>
      <name val="Sakkal Majalla"/>
    </font>
    <font>
      <sz val="14"/>
      <color rgb="FF222222"/>
      <name val="Sakkal Majalla"/>
    </font>
    <font>
      <b/>
      <sz val="14"/>
      <color theme="0"/>
      <name val="Sakkal Majalla"/>
    </font>
    <font>
      <b/>
      <sz val="7"/>
      <color theme="0"/>
      <name val="Times New Roman"/>
      <family val="1"/>
    </font>
    <font>
      <sz val="12"/>
      <color theme="1"/>
      <name val="Sakkal Majalla"/>
    </font>
    <font>
      <b/>
      <sz val="12"/>
      <color theme="0"/>
      <name val="Sakkal Majalla"/>
    </font>
    <font>
      <sz val="12"/>
      <color rgb="FF00653B"/>
      <name val="Sakkal Majalla"/>
    </font>
    <font>
      <b/>
      <sz val="12"/>
      <color theme="1"/>
      <name val="Sakkal Majalla"/>
    </font>
    <font>
      <b/>
      <sz val="14"/>
      <color theme="1"/>
      <name val="Sakkal Majalla"/>
    </font>
  </fonts>
  <fills count="17">
    <fill>
      <patternFill patternType="none"/>
    </fill>
    <fill>
      <patternFill patternType="gray125"/>
    </fill>
    <fill>
      <patternFill patternType="solid">
        <fgColor theme="9" tint="0.79998168889431442"/>
        <bgColor indexed="64"/>
      </patternFill>
    </fill>
    <fill>
      <patternFill patternType="solid">
        <fgColor rgb="FFE2F6EC"/>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FEDDF"/>
        <bgColor indexed="64"/>
      </patternFill>
    </fill>
    <fill>
      <patternFill patternType="solid">
        <fgColor rgb="FFF6E2EC"/>
        <bgColor indexed="64"/>
      </patternFill>
    </fill>
    <fill>
      <patternFill patternType="solid">
        <fgColor rgb="FFF6FFF3"/>
        <bgColor indexed="64"/>
      </patternFill>
    </fill>
    <fill>
      <patternFill patternType="solid">
        <fgColor rgb="FFDDDDDD"/>
        <bgColor indexed="64"/>
      </patternFill>
    </fill>
    <fill>
      <patternFill patternType="solid">
        <fgColor rgb="FF24571D"/>
        <bgColor indexed="64"/>
      </patternFill>
    </fill>
    <fill>
      <patternFill patternType="solid">
        <fgColor rgb="FF00653B"/>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8">
    <xf numFmtId="0" fontId="0" fillId="0" borderId="0" xfId="0"/>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164" fontId="2" fillId="0" borderId="1" xfId="1" applyNumberFormat="1" applyFont="1" applyBorder="1"/>
    <xf numFmtId="164" fontId="2" fillId="0" borderId="1" xfId="1" applyNumberFormat="1" applyFont="1" applyBorder="1" applyAlignment="1">
      <alignment horizontal="center" vertical="center"/>
    </xf>
    <xf numFmtId="10" fontId="2" fillId="0" borderId="0" xfId="0" applyNumberFormat="1" applyFont="1"/>
    <xf numFmtId="10" fontId="2" fillId="0" borderId="0" xfId="2" applyNumberFormat="1" applyFont="1"/>
    <xf numFmtId="14" fontId="2" fillId="0" borderId="1" xfId="0" applyNumberFormat="1" applyFont="1" applyBorder="1"/>
    <xf numFmtId="0" fontId="2" fillId="0" borderId="1" xfId="0" applyFont="1" applyFill="1" applyBorder="1"/>
    <xf numFmtId="0" fontId="2" fillId="0" borderId="0" xfId="0" applyFont="1" applyBorder="1"/>
    <xf numFmtId="164" fontId="2" fillId="0" borderId="0" xfId="1" applyNumberFormat="1" applyFont="1"/>
    <xf numFmtId="0" fontId="4" fillId="2" borderId="1" xfId="0" applyFont="1" applyFill="1" applyBorder="1" applyAlignment="1">
      <alignment horizontal="center" vertical="center"/>
    </xf>
    <xf numFmtId="10" fontId="4" fillId="3" borderId="1" xfId="2" applyNumberFormat="1" applyFont="1" applyFill="1" applyBorder="1" applyAlignment="1">
      <alignment horizontal="center" vertical="center"/>
    </xf>
    <xf numFmtId="9" fontId="2" fillId="0" borderId="0" xfId="0" applyNumberFormat="1" applyFont="1"/>
    <xf numFmtId="0" fontId="2" fillId="0" borderId="1" xfId="0" applyFont="1" applyBorder="1" applyAlignment="1">
      <alignment horizontal="center" vertical="center"/>
    </xf>
    <xf numFmtId="16" fontId="4" fillId="3" borderId="1" xfId="0" applyNumberFormat="1" applyFont="1" applyFill="1" applyBorder="1" applyAlignment="1">
      <alignment horizontal="center" vertical="center"/>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164" fontId="2" fillId="0" borderId="10" xfId="1" applyNumberFormat="1" applyFont="1" applyFill="1" applyBorder="1" applyAlignment="1">
      <alignment horizontal="center" vertical="center"/>
    </xf>
    <xf numFmtId="0" fontId="2" fillId="0" borderId="11" xfId="0" applyFont="1" applyBorder="1"/>
    <xf numFmtId="0" fontId="2" fillId="0" borderId="0" xfId="0" applyFont="1" applyBorder="1" applyAlignment="1">
      <alignmen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wrapText="1"/>
    </xf>
    <xf numFmtId="0" fontId="5" fillId="0" borderId="0" xfId="0" applyFont="1" applyAlignment="1">
      <alignment horizontal="left" vertical="center"/>
    </xf>
    <xf numFmtId="0" fontId="5" fillId="0" borderId="0" xfId="0" applyFont="1"/>
    <xf numFmtId="0" fontId="6" fillId="2" borderId="1" xfId="0" applyFont="1" applyFill="1" applyBorder="1" applyAlignment="1">
      <alignment horizontal="center" vertical="center"/>
    </xf>
    <xf numFmtId="0" fontId="7" fillId="2" borderId="1" xfId="0" applyFont="1" applyFill="1" applyBorder="1" applyAlignment="1">
      <alignment horizontal="center" wrapText="1"/>
    </xf>
    <xf numFmtId="0" fontId="5" fillId="0" borderId="4" xfId="0" applyFont="1" applyBorder="1"/>
    <xf numFmtId="0" fontId="5" fillId="0" borderId="5" xfId="0" applyFont="1" applyBorder="1" applyAlignment="1">
      <alignment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0" xfId="0" applyFont="1" applyBorder="1" applyAlignment="1">
      <alignment wrapText="1"/>
    </xf>
    <xf numFmtId="0" fontId="5" fillId="0" borderId="0" xfId="0" applyFont="1" applyBorder="1"/>
    <xf numFmtId="0" fontId="5" fillId="0" borderId="9" xfId="0" applyFont="1" applyBorder="1"/>
    <xf numFmtId="0" fontId="5" fillId="0" borderId="10" xfId="0" applyFont="1" applyBorder="1" applyAlignment="1">
      <alignment horizontal="left" vertical="center"/>
    </xf>
    <xf numFmtId="0" fontId="5" fillId="0" borderId="11" xfId="0" applyFont="1" applyBorder="1"/>
    <xf numFmtId="1" fontId="2" fillId="0" borderId="0" xfId="0" applyNumberFormat="1" applyFont="1"/>
    <xf numFmtId="0" fontId="3" fillId="6" borderId="0" xfId="0" applyFont="1" applyFill="1" applyBorder="1" applyAlignment="1"/>
    <xf numFmtId="0" fontId="3" fillId="6" borderId="2" xfId="0" applyFont="1" applyFill="1" applyBorder="1" applyAlignment="1"/>
    <xf numFmtId="0" fontId="3" fillId="5" borderId="2" xfId="0" applyFont="1" applyFill="1" applyBorder="1" applyAlignment="1">
      <alignment horizontal="left" vertical="center"/>
    </xf>
    <xf numFmtId="0" fontId="2" fillId="8" borderId="2" xfId="0" applyFont="1" applyFill="1" applyBorder="1"/>
    <xf numFmtId="0" fontId="2" fillId="9" borderId="2" xfId="0" applyFont="1" applyFill="1" applyBorder="1"/>
    <xf numFmtId="0" fontId="2" fillId="10" borderId="2" xfId="0" applyFont="1" applyFill="1" applyBorder="1"/>
    <xf numFmtId="164" fontId="2" fillId="11" borderId="1" xfId="1" applyNumberFormat="1" applyFont="1" applyFill="1" applyBorder="1" applyAlignment="1">
      <alignment horizontal="center" vertical="center"/>
    </xf>
    <xf numFmtId="10" fontId="2" fillId="11" borderId="1" xfId="0" applyNumberFormat="1" applyFont="1" applyFill="1" applyBorder="1" applyAlignment="1">
      <alignment horizontal="center" vertical="center"/>
    </xf>
    <xf numFmtId="0" fontId="2" fillId="0" borderId="10" xfId="0" applyFont="1" applyFill="1" applyBorder="1"/>
    <xf numFmtId="0" fontId="9" fillId="0" borderId="1" xfId="0" applyFont="1" applyFill="1" applyBorder="1"/>
    <xf numFmtId="3" fontId="2" fillId="12" borderId="1" xfId="0" applyNumberFormat="1" applyFont="1" applyFill="1" applyBorder="1" applyAlignment="1">
      <alignment horizontal="center" vertical="center"/>
    </xf>
    <xf numFmtId="0" fontId="4" fillId="0" borderId="0" xfId="0" applyFont="1"/>
    <xf numFmtId="14" fontId="2" fillId="0" borderId="0" xfId="0" applyNumberFormat="1" applyFont="1" applyBorder="1"/>
    <xf numFmtId="0" fontId="2" fillId="0" borderId="0" xfId="0" applyFont="1" applyFill="1" applyBorder="1"/>
    <xf numFmtId="43" fontId="2" fillId="0" borderId="0" xfId="1" applyFont="1"/>
    <xf numFmtId="164" fontId="10" fillId="0" borderId="0" xfId="0" applyNumberFormat="1" applyFont="1"/>
    <xf numFmtId="43" fontId="2" fillId="0" borderId="0" xfId="0" applyNumberFormat="1" applyFont="1"/>
    <xf numFmtId="164" fontId="2" fillId="0" borderId="0" xfId="0" applyNumberFormat="1" applyFont="1" applyBorder="1"/>
    <xf numFmtId="165" fontId="2" fillId="0" borderId="0" xfId="2" applyNumberFormat="1" applyFont="1"/>
    <xf numFmtId="164" fontId="11" fillId="0" borderId="0" xfId="0" applyNumberFormat="1" applyFont="1"/>
    <xf numFmtId="164" fontId="12" fillId="0" borderId="0" xfId="0" applyNumberFormat="1" applyFont="1"/>
    <xf numFmtId="14" fontId="2" fillId="0" borderId="0" xfId="0" applyNumberFormat="1" applyFont="1"/>
    <xf numFmtId="164" fontId="2" fillId="11" borderId="1" xfId="1" applyNumberFormat="1" applyFont="1" applyFill="1" applyBorder="1" applyAlignment="1">
      <alignment vertical="center"/>
    </xf>
    <xf numFmtId="2" fontId="2" fillId="0" borderId="0" xfId="0" applyNumberFormat="1" applyFont="1" applyBorder="1" applyAlignment="1">
      <alignment horizontal="center" vertical="center"/>
    </xf>
    <xf numFmtId="9" fontId="2" fillId="11" borderId="1" xfId="2" applyFont="1" applyFill="1" applyBorder="1" applyAlignment="1">
      <alignment horizontal="center" vertical="center"/>
    </xf>
    <xf numFmtId="0" fontId="11" fillId="0" borderId="0" xfId="0" applyFont="1"/>
    <xf numFmtId="43" fontId="2" fillId="0" borderId="0" xfId="1" applyFont="1" applyBorder="1" applyAlignment="1">
      <alignment horizontal="center" vertical="center"/>
    </xf>
    <xf numFmtId="166" fontId="2" fillId="11" borderId="1" xfId="1" applyNumberFormat="1" applyFont="1" applyFill="1" applyBorder="1" applyAlignment="1">
      <alignment horizontal="center" vertical="center"/>
    </xf>
    <xf numFmtId="43" fontId="2" fillId="11" borderId="1" xfId="1" applyFont="1" applyFill="1" applyBorder="1" applyAlignment="1">
      <alignment horizontal="center" vertical="center"/>
    </xf>
    <xf numFmtId="0" fontId="2" fillId="11" borderId="1" xfId="0" applyFont="1" applyFill="1" applyBorder="1"/>
    <xf numFmtId="164" fontId="2" fillId="11" borderId="1" xfId="1" applyNumberFormat="1" applyFont="1" applyFill="1" applyBorder="1"/>
    <xf numFmtId="10" fontId="2" fillId="0" borderId="0" xfId="2" applyNumberFormat="1" applyFont="1" applyAlignment="1">
      <alignment horizontal="center" vertical="center"/>
    </xf>
    <xf numFmtId="167" fontId="2" fillId="0" borderId="0" xfId="1" applyNumberFormat="1" applyFont="1" applyBorder="1" applyAlignment="1">
      <alignment horizontal="center" vertical="center"/>
    </xf>
    <xf numFmtId="0" fontId="2" fillId="13" borderId="1" xfId="0" applyFont="1" applyFill="1" applyBorder="1"/>
    <xf numFmtId="164" fontId="2" fillId="14" borderId="1" xfId="1" applyNumberFormat="1" applyFont="1" applyFill="1" applyBorder="1" applyAlignment="1">
      <alignment horizontal="center" vertical="center"/>
    </xf>
    <xf numFmtId="14" fontId="2" fillId="14" borderId="1" xfId="1" applyNumberFormat="1" applyFont="1" applyFill="1" applyBorder="1" applyAlignment="1">
      <alignment horizontal="center" vertical="center"/>
    </xf>
    <xf numFmtId="0" fontId="5" fillId="0" borderId="0" xfId="0" applyFont="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164" fontId="4" fillId="11" borderId="1" xfId="1" applyNumberFormat="1" applyFont="1" applyFill="1" applyBorder="1" applyAlignment="1">
      <alignment horizontal="center" vertical="center"/>
    </xf>
    <xf numFmtId="10" fontId="2" fillId="14" borderId="1" xfId="2" applyNumberFormat="1" applyFont="1" applyFill="1" applyBorder="1" applyAlignment="1">
      <alignment horizontal="center" vertical="center"/>
    </xf>
    <xf numFmtId="168" fontId="0" fillId="0" borderId="0" xfId="2" applyNumberFormat="1" applyFont="1"/>
    <xf numFmtId="169" fontId="2" fillId="0" borderId="0" xfId="0" applyNumberFormat="1" applyFont="1"/>
    <xf numFmtId="41" fontId="2" fillId="0" borderId="1" xfId="0" applyNumberFormat="1" applyFont="1" applyBorder="1"/>
    <xf numFmtId="41" fontId="2" fillId="0" borderId="0" xfId="0" applyNumberFormat="1" applyFont="1"/>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9" fillId="0" borderId="1" xfId="0" applyFont="1" applyFill="1" applyBorder="1" applyAlignment="1">
      <alignment vertical="center" wrapText="1"/>
    </xf>
    <xf numFmtId="0" fontId="2" fillId="11" borderId="1" xfId="0" applyFont="1" applyFill="1" applyBorder="1" applyAlignment="1">
      <alignment vertical="center" wrapText="1"/>
    </xf>
    <xf numFmtId="0" fontId="2" fillId="0" borderId="8" xfId="0" applyFont="1" applyBorder="1" applyAlignment="1">
      <alignment vertical="center" wrapText="1"/>
    </xf>
    <xf numFmtId="41" fontId="2" fillId="0" borderId="0" xfId="2" applyNumberFormat="1" applyFont="1"/>
    <xf numFmtId="15" fontId="2" fillId="0" borderId="0" xfId="2" applyNumberFormat="1" applyFont="1"/>
    <xf numFmtId="15" fontId="2" fillId="0" borderId="0" xfId="0" applyNumberFormat="1" applyFont="1"/>
    <xf numFmtId="6" fontId="2" fillId="0" borderId="0" xfId="0" applyNumberFormat="1" applyFont="1"/>
    <xf numFmtId="0" fontId="3" fillId="0" borderId="0" xfId="0" applyFont="1" applyFill="1" applyBorder="1" applyAlignment="1">
      <alignment horizontal="center" vertical="center"/>
    </xf>
    <xf numFmtId="10" fontId="2" fillId="0" borderId="0" xfId="0" applyNumberFormat="1" applyFont="1" applyFill="1" applyBorder="1" applyAlignment="1">
      <alignment horizontal="center" vertical="center"/>
    </xf>
    <xf numFmtId="165" fontId="2" fillId="0" borderId="0" xfId="0" applyNumberFormat="1" applyFont="1"/>
    <xf numFmtId="170" fontId="2" fillId="0" borderId="0" xfId="0" applyNumberFormat="1" applyFont="1"/>
    <xf numFmtId="0" fontId="0" fillId="0" borderId="0" xfId="0" applyAlignment="1"/>
    <xf numFmtId="0" fontId="18" fillId="15" borderId="15" xfId="0" applyFont="1" applyFill="1" applyBorder="1" applyAlignment="1">
      <alignment horizontal="justify" vertical="center"/>
    </xf>
    <xf numFmtId="0" fontId="16" fillId="0" borderId="16" xfId="0" applyFont="1" applyBorder="1" applyAlignment="1">
      <alignment horizontal="left" vertical="center" wrapText="1" indent="2"/>
    </xf>
    <xf numFmtId="0" fontId="16" fillId="0" borderId="16" xfId="0" applyFont="1" applyBorder="1" applyAlignment="1">
      <alignment horizontal="justify" vertical="center"/>
    </xf>
    <xf numFmtId="0" fontId="16" fillId="0" borderId="18" xfId="0" applyFont="1" applyBorder="1" applyAlignment="1">
      <alignment horizontal="justify" vertical="center"/>
    </xf>
    <xf numFmtId="0" fontId="16" fillId="0" borderId="17" xfId="0" applyFont="1" applyBorder="1" applyAlignment="1">
      <alignment horizontal="justify" vertical="center"/>
    </xf>
    <xf numFmtId="0" fontId="18" fillId="15" borderId="1" xfId="0" applyFont="1" applyFill="1" applyBorder="1" applyAlignment="1">
      <alignment horizontal="justify" vertical="center"/>
    </xf>
    <xf numFmtId="0" fontId="16" fillId="0" borderId="1" xfId="0" applyFont="1" applyBorder="1" applyAlignment="1">
      <alignment horizontal="justify" vertical="center"/>
    </xf>
    <xf numFmtId="164" fontId="2" fillId="0" borderId="0" xfId="1" applyNumberFormat="1" applyFont="1" applyFill="1" applyBorder="1" applyAlignment="1">
      <alignment horizontal="center" vertical="center"/>
    </xf>
    <xf numFmtId="164" fontId="2" fillId="0" borderId="8" xfId="1" applyNumberFormat="1" applyFont="1" applyBorder="1"/>
    <xf numFmtId="171" fontId="2" fillId="0" borderId="0" xfId="2" applyNumberFormat="1" applyFont="1"/>
    <xf numFmtId="164" fontId="3"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xf>
    <xf numFmtId="0" fontId="3" fillId="6" borderId="2" xfId="0" applyFont="1" applyFill="1" applyBorder="1"/>
    <xf numFmtId="0" fontId="3" fillId="6" borderId="0" xfId="0" applyFont="1" applyFill="1"/>
    <xf numFmtId="0" fontId="2" fillId="0" borderId="0" xfId="0" applyFont="1" applyAlignment="1">
      <alignment vertical="center"/>
    </xf>
    <xf numFmtId="0" fontId="3" fillId="0" borderId="0" xfId="0" applyFont="1" applyAlignment="1">
      <alignment horizontal="center" vertical="center"/>
    </xf>
    <xf numFmtId="10" fontId="2" fillId="0" borderId="0" xfId="0" applyNumberFormat="1" applyFont="1" applyAlignment="1">
      <alignment horizontal="center" vertical="center"/>
    </xf>
    <xf numFmtId="0" fontId="9" fillId="0" borderId="1" xfId="0" applyFont="1" applyBorder="1"/>
    <xf numFmtId="2" fontId="2" fillId="0" borderId="0" xfId="0" applyNumberFormat="1" applyFont="1" applyAlignment="1">
      <alignment horizontal="center" vertical="center"/>
    </xf>
    <xf numFmtId="0" fontId="9" fillId="0" borderId="1" xfId="0" applyFont="1" applyBorder="1" applyAlignment="1">
      <alignment vertical="center" wrapText="1"/>
    </xf>
    <xf numFmtId="166" fontId="4" fillId="11" borderId="1" xfId="1" applyNumberFormat="1" applyFont="1" applyFill="1" applyBorder="1" applyAlignment="1">
      <alignment horizontal="center" vertical="center"/>
    </xf>
    <xf numFmtId="0" fontId="20" fillId="0" borderId="0" xfId="0" applyFont="1"/>
    <xf numFmtId="0" fontId="22" fillId="0" borderId="0" xfId="0" applyFont="1"/>
    <xf numFmtId="172" fontId="2" fillId="0" borderId="0" xfId="0" applyNumberFormat="1" applyFont="1"/>
    <xf numFmtId="173" fontId="2" fillId="0" borderId="0" xfId="0" applyNumberFormat="1" applyFont="1"/>
    <xf numFmtId="174" fontId="2" fillId="0" borderId="0" xfId="0" applyNumberFormat="1" applyFont="1"/>
    <xf numFmtId="0" fontId="16" fillId="0" borderId="18" xfId="0" applyFont="1" applyBorder="1" applyAlignment="1">
      <alignment horizontal="justify" vertical="center" wrapText="1"/>
    </xf>
    <xf numFmtId="166" fontId="2" fillId="0" borderId="0" xfId="1" applyNumberFormat="1" applyFont="1" applyFill="1" applyBorder="1" applyAlignment="1">
      <alignment horizontal="center" vertical="center"/>
    </xf>
    <xf numFmtId="0" fontId="23" fillId="0" borderId="1" xfId="0" applyFont="1" applyBorder="1" applyAlignment="1">
      <alignment horizontal="center" vertical="center"/>
    </xf>
    <xf numFmtId="0" fontId="21" fillId="16" borderId="1" xfId="0" applyFont="1" applyFill="1" applyBorder="1" applyAlignment="1">
      <alignment horizontal="center"/>
    </xf>
    <xf numFmtId="0" fontId="2" fillId="0" borderId="0" xfId="0" applyFont="1" applyFill="1"/>
    <xf numFmtId="16" fontId="4" fillId="0" borderId="0" xfId="0" applyNumberFormat="1" applyFont="1" applyFill="1" applyBorder="1" applyAlignment="1">
      <alignment horizontal="center" vertical="center" wrapText="1"/>
    </xf>
    <xf numFmtId="10" fontId="4" fillId="0" borderId="0" xfId="2" applyNumberFormat="1" applyFont="1" applyFill="1" applyBorder="1" applyAlignment="1">
      <alignment horizontal="center" vertical="center"/>
    </xf>
    <xf numFmtId="164" fontId="2" fillId="9" borderId="1" xfId="1" applyNumberFormat="1" applyFont="1" applyFill="1" applyBorder="1" applyProtection="1">
      <protection locked="0"/>
    </xf>
    <xf numFmtId="10" fontId="2" fillId="8" borderId="1" xfId="2" applyNumberFormat="1" applyFont="1" applyFill="1" applyBorder="1" applyProtection="1">
      <protection locked="0"/>
    </xf>
    <xf numFmtId="0" fontId="2" fillId="9" borderId="1" xfId="0" applyFont="1" applyFill="1" applyBorder="1" applyProtection="1">
      <protection locked="0"/>
    </xf>
    <xf numFmtId="14" fontId="2" fillId="10" borderId="1" xfId="0" applyNumberFormat="1" applyFont="1" applyFill="1" applyBorder="1" applyProtection="1">
      <protection locked="0"/>
    </xf>
    <xf numFmtId="3" fontId="2" fillId="12" borderId="1" xfId="0" applyNumberFormat="1" applyFont="1" applyFill="1" applyBorder="1" applyAlignment="1" applyProtection="1">
      <alignment horizontal="center" vertical="center"/>
      <protection locked="0"/>
    </xf>
    <xf numFmtId="164" fontId="2" fillId="9" borderId="2" xfId="1" applyNumberFormat="1" applyFont="1" applyFill="1" applyBorder="1" applyProtection="1">
      <protection locked="0"/>
    </xf>
    <xf numFmtId="43" fontId="2" fillId="9" borderId="2" xfId="1" applyFont="1" applyFill="1" applyBorder="1" applyProtection="1">
      <protection locked="0"/>
    </xf>
    <xf numFmtId="164" fontId="0" fillId="13" borderId="1" xfId="1" applyNumberFormat="1" applyFont="1" applyFill="1" applyBorder="1" applyProtection="1">
      <protection locked="0"/>
    </xf>
    <xf numFmtId="0" fontId="0" fillId="13" borderId="1" xfId="0" applyFill="1" applyBorder="1" applyProtection="1">
      <protection locked="0"/>
    </xf>
    <xf numFmtId="15" fontId="0" fillId="13" borderId="1" xfId="0" applyNumberFormat="1" applyFill="1" applyBorder="1" applyProtection="1">
      <protection locked="0"/>
    </xf>
    <xf numFmtId="14" fontId="0" fillId="13" borderId="1" xfId="0" applyNumberFormat="1" applyFill="1" applyBorder="1" applyProtection="1">
      <protection locked="0"/>
    </xf>
    <xf numFmtId="0" fontId="8" fillId="7" borderId="1" xfId="0" applyFont="1" applyFill="1" applyBorder="1" applyAlignment="1">
      <alignment horizontal="center" vertical="center"/>
    </xf>
    <xf numFmtId="0" fontId="8" fillId="7" borderId="12" xfId="0" applyFont="1" applyFill="1" applyBorder="1" applyAlignment="1">
      <alignment horizontal="center"/>
    </xf>
    <xf numFmtId="0" fontId="8" fillId="7" borderId="13" xfId="0" applyFont="1" applyFill="1" applyBorder="1" applyAlignment="1">
      <alignment horizontal="center"/>
    </xf>
    <xf numFmtId="0" fontId="2" fillId="0" borderId="1" xfId="0" applyFont="1" applyBorder="1" applyAlignment="1">
      <alignment horizontal="left"/>
    </xf>
    <xf numFmtId="164" fontId="3" fillId="5" borderId="2" xfId="1" applyNumberFormat="1" applyFont="1" applyFill="1" applyBorder="1" applyAlignment="1">
      <alignment horizontal="left" vertical="center"/>
    </xf>
    <xf numFmtId="164" fontId="3" fillId="5" borderId="3" xfId="1" applyNumberFormat="1" applyFont="1" applyFill="1" applyBorder="1" applyAlignment="1">
      <alignment horizontal="left" vertical="center"/>
    </xf>
    <xf numFmtId="0" fontId="3" fillId="5" borderId="1" xfId="0" applyFont="1" applyFill="1" applyBorder="1" applyAlignment="1">
      <alignment horizontal="center"/>
    </xf>
    <xf numFmtId="0" fontId="3" fillId="6" borderId="0" xfId="0" applyFont="1" applyFill="1" applyBorder="1" applyAlignment="1">
      <alignment horizont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164" fontId="3" fillId="5" borderId="1" xfId="1" applyNumberFormat="1" applyFont="1" applyFill="1" applyBorder="1" applyAlignment="1">
      <alignment horizontal="left" vertic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2" fillId="0" borderId="1" xfId="0" applyFont="1" applyBorder="1" applyAlignment="1">
      <alignment horizontal="left" vertical="center" wrapText="1"/>
    </xf>
    <xf numFmtId="0" fontId="4" fillId="2" borderId="1" xfId="0" applyFont="1" applyFill="1" applyBorder="1" applyAlignment="1">
      <alignment horizontal="center"/>
    </xf>
    <xf numFmtId="0" fontId="3" fillId="6" borderId="1" xfId="0" applyFont="1" applyFill="1" applyBorder="1" applyAlignment="1">
      <alignment horizontal="center"/>
    </xf>
    <xf numFmtId="0" fontId="3" fillId="4" borderId="0" xfId="0" applyFont="1" applyFill="1" applyAlignment="1">
      <alignment horizontal="center" vertical="center"/>
    </xf>
    <xf numFmtId="0" fontId="12" fillId="0" borderId="14" xfId="0" applyFont="1" applyFill="1" applyBorder="1" applyAlignment="1">
      <alignment horizontal="center"/>
    </xf>
    <xf numFmtId="164" fontId="13" fillId="7" borderId="1" xfId="1" applyNumberFormat="1" applyFont="1" applyFill="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0" fontId="21" fillId="16" borderId="2" xfId="0" applyNumberFormat="1" applyFont="1" applyFill="1" applyBorder="1" applyAlignment="1">
      <alignment horizontal="center"/>
    </xf>
    <xf numFmtId="0" fontId="21" fillId="16" borderId="19" xfId="0" applyFont="1" applyFill="1" applyBorder="1" applyAlignment="1">
      <alignment horizontal="center"/>
    </xf>
    <xf numFmtId="0" fontId="21" fillId="16" borderId="3" xfId="0" applyFont="1" applyFill="1" applyBorder="1" applyAlignment="1">
      <alignment horizontal="center"/>
    </xf>
    <xf numFmtId="0" fontId="2" fillId="0" borderId="0" xfId="0" applyFont="1" applyAlignment="1">
      <alignment horizontal="left" wrapText="1"/>
    </xf>
    <xf numFmtId="0" fontId="20" fillId="0" borderId="2" xfId="0" applyFont="1" applyBorder="1" applyAlignment="1">
      <alignment horizontal="center"/>
    </xf>
    <xf numFmtId="0" fontId="20" fillId="0" borderId="19" xfId="0" applyFont="1" applyBorder="1" applyAlignment="1">
      <alignment horizontal="center"/>
    </xf>
    <xf numFmtId="0" fontId="20" fillId="0" borderId="3" xfId="0" applyFont="1" applyBorder="1" applyAlignment="1">
      <alignment horizontal="center"/>
    </xf>
    <xf numFmtId="0" fontId="21" fillId="16" borderId="1" xfId="0" applyFont="1" applyFill="1" applyBorder="1" applyAlignment="1">
      <alignment horizont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0" fillId="0" borderId="1" xfId="0" applyFont="1" applyBorder="1" applyAlignment="1">
      <alignment horizontal="left" wrapText="1"/>
    </xf>
    <xf numFmtId="0" fontId="20" fillId="0" borderId="1" xfId="0" applyFont="1" applyBorder="1" applyAlignment="1">
      <alignment horizontal="left" vertical="center" wrapText="1"/>
    </xf>
    <xf numFmtId="0" fontId="3" fillId="6" borderId="0" xfId="0" applyFont="1" applyFill="1" applyAlignment="1">
      <alignment horizontal="center"/>
    </xf>
    <xf numFmtId="0" fontId="12" fillId="0" borderId="14" xfId="0" applyFont="1" applyBorder="1" applyAlignment="1">
      <alignment horizontal="center"/>
    </xf>
  </cellXfs>
  <cellStyles count="3">
    <cellStyle name="Comma" xfId="1" builtinId="3"/>
    <cellStyle name="Normal" xfId="0" builtinId="0"/>
    <cellStyle name="Percent" xfId="2" builtinId="5"/>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CEE4CE"/>
      <color rgb="FF006600"/>
      <color rgb="FFEFF3FB"/>
      <color rgb="FF24571D"/>
      <color rgb="FFDDDDDD"/>
      <color rgb="FFF6FFF3"/>
      <color rgb="FFDFEDDF"/>
      <color rgb="FFF6E2EC"/>
      <color rgb="FF008080"/>
      <color rgb="FFD9F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106680</xdr:colOff>
      <xdr:row>15</xdr:row>
      <xdr:rowOff>76200</xdr:rowOff>
    </xdr:from>
    <xdr:to>
      <xdr:col>4</xdr:col>
      <xdr:colOff>0</xdr:colOff>
      <xdr:row>15</xdr:row>
      <xdr:rowOff>76200</xdr:rowOff>
    </xdr:to>
    <xdr:cxnSp macro="">
      <xdr:nvCxnSpPr>
        <xdr:cNvPr id="3" name="Straight Arrow Connector 2">
          <a:extLst>
            <a:ext uri="{FF2B5EF4-FFF2-40B4-BE49-F238E27FC236}">
              <a16:creationId xmlns:a16="http://schemas.microsoft.com/office/drawing/2014/main" id="{11FB8FE9-C8B7-4AC8-9B23-F2D0A35489BC}"/>
            </a:ext>
          </a:extLst>
        </xdr:cNvPr>
        <xdr:cNvCxnSpPr/>
      </xdr:nvCxnSpPr>
      <xdr:spPr>
        <a:xfrm flipH="1">
          <a:off x="4191000" y="2827020"/>
          <a:ext cx="50292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224123</xdr:colOff>
      <xdr:row>5</xdr:row>
      <xdr:rowOff>244632</xdr:rowOff>
    </xdr:from>
    <xdr:ext cx="5894737" cy="47164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18ED53E9-2B75-4FDA-8E79-84074C47D4A7}"/>
                </a:ext>
              </a:extLst>
            </xdr:cNvPr>
            <xdr:cNvSpPr txBox="1"/>
          </xdr:nvSpPr>
          <xdr:spPr>
            <a:xfrm>
              <a:off x="3355943" y="149431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20</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r>
                        <a:rPr lang="en-US" sz="1200" b="0" i="1">
                          <a:latin typeface="Cambria Math" panose="02040503050406030204" pitchFamily="18" charset="0"/>
                          <a:ea typeface="Cambria Math" panose="02040503050406030204" pitchFamily="18" charset="0"/>
                        </a:rPr>
                        <m:t> −</m:t>
                      </m:r>
                      <m:r>
                        <a:rPr lang="en-US" sz="1200" b="0" i="1">
                          <a:latin typeface="Cambria Math" panose="02040503050406030204" pitchFamily="18" charset="0"/>
                          <a:ea typeface="Cambria Math" panose="02040503050406030204" pitchFamily="18" charset="0"/>
                        </a:rPr>
                        <m:t>200</m:t>
                      </m:r>
                    </m:e>
                  </m:d>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19</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800</m:t>
                  </m:r>
                  <m:r>
                    <a:rPr lang="en-US" sz="1200" b="0" i="1">
                      <a:solidFill>
                        <a:schemeClr val="tx1"/>
                      </a:solidFill>
                      <a:effectLst/>
                      <a:latin typeface="Cambria Math" panose="02040503050406030204" pitchFamily="18" charset="0"/>
                      <a:ea typeface="Cambria Math" panose="02040503050406030204" pitchFamily="18" charset="0"/>
                      <a:cs typeface="+mn-cs"/>
                    </a:rPr>
                    <m:t> </m:t>
                  </m:r>
                  <m:r>
                    <a:rPr lang="en-US" sz="1200" b="0" i="1">
                      <a:latin typeface="Cambria Math" panose="02040503050406030204" pitchFamily="18" charset="0"/>
                      <a:ea typeface="Cambria Math" panose="02040503050406030204" pitchFamily="18" charset="0"/>
                    </a:rPr>
                    <m:t>=</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861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𝐼𝑅𝑅</m:t>
                              </m:r>
                            </m:e>
                          </m:d>
                        </m:e>
                        <m:sup>
                          <m:f>
                            <m:fPr>
                              <m:ctrlPr>
                                <a:rPr lang="en-US" sz="1200" b="0" i="1">
                                  <a:latin typeface="Cambria Math" panose="02040503050406030204" pitchFamily="18" charset="0"/>
                                  <a:ea typeface="Cambria Math" panose="02040503050406030204" pitchFamily="18" charset="0"/>
                                </a:rPr>
                              </m:ctrlPr>
                            </m:fPr>
                            <m:num>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𝑡</m:t>
                                  </m:r>
                                </m:e>
                                <m:sub>
                                  <m:r>
                                    <a:rPr lang="en-US" sz="1200" b="0" i="1">
                                      <a:latin typeface="Cambria Math" panose="02040503050406030204" pitchFamily="18" charset="0"/>
                                      <a:ea typeface="Cambria Math" panose="02040503050406030204" pitchFamily="18" charset="0"/>
                                    </a:rPr>
                                    <m:t>1</m:t>
                                  </m:r>
                                </m:sub>
                              </m:sSub>
                            </m:num>
                            <m:den>
                              <m:r>
                                <a:rPr lang="en-US" sz="1200" b="0" i="1">
                                  <a:latin typeface="Cambria Math" panose="02040503050406030204" pitchFamily="18" charset="0"/>
                                  <a:ea typeface="Cambria Math" panose="02040503050406030204" pitchFamily="18" charset="0"/>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200" b="0" i="1">
                                  <a:solidFill>
                                    <a:schemeClr val="tx1"/>
                                  </a:solidFill>
                                  <a:effectLst/>
                                  <a:latin typeface="Cambria Math" panose="02040503050406030204" pitchFamily="18" charset="0"/>
                                  <a:ea typeface="Cambria Math" panose="02040503050406030204" pitchFamily="18" charset="0"/>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2" name="TextBox 1">
              <a:extLst>
                <a:ext uri="{FF2B5EF4-FFF2-40B4-BE49-F238E27FC236}">
                  <a16:creationId xmlns:a16="http://schemas.microsoft.com/office/drawing/2014/main" id="{18ED53E9-2B75-4FDA-8E79-84074C47D4A7}"/>
                </a:ext>
              </a:extLst>
            </xdr:cNvPr>
            <xdr:cNvSpPr txBox="1"/>
          </xdr:nvSpPr>
          <xdr:spPr>
            <a:xfrm>
              <a:off x="3355943" y="149431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0" i="0">
                  <a:latin typeface="Cambria Math" panose="02040503050406030204" pitchFamily="18" charset="0"/>
                  <a:ea typeface="Cambria Math" panose="02040503050406030204" pitchFamily="18" charset="0"/>
                </a:rPr>
                <a:t>(20,000 −200)=19,800</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b="0" i="0">
                  <a:latin typeface="Cambria Math" panose="02040503050406030204" pitchFamily="18" charset="0"/>
                  <a:ea typeface="Cambria Math" panose="02040503050406030204" pitchFamily="18" charset="0"/>
                </a:rPr>
                <a:t>=861/(1+𝐼𝑅𝑅)^(𝑡_1/365)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a:t>
              </a:r>
              <a:r>
                <a:rPr lang="en-US" sz="1100" b="0" i="0">
                  <a:solidFill>
                    <a:schemeClr val="tx1"/>
                  </a:solidFill>
                  <a:effectLst/>
                  <a:latin typeface="+mn-lt"/>
                  <a:ea typeface="+mn-ea"/>
                  <a:cs typeface="+mn-cs"/>
                </a:rPr>
                <a:t>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+861/(1+𝐼𝑅𝑅)^(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200" b="0" i="0">
                  <a:solidFill>
                    <a:schemeClr val="tx1"/>
                  </a:solidFill>
                  <a:effectLst/>
                  <a:latin typeface="Cambria Math" panose="02040503050406030204" pitchFamily="18" charset="0"/>
                  <a:ea typeface="Cambria Math" panose="02040503050406030204" pitchFamily="18" charset="0"/>
                  <a:cs typeface="+mn-cs"/>
                </a:rPr>
                <a:t>/365)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12</xdr:row>
      <xdr:rowOff>130333</xdr:rowOff>
    </xdr:from>
    <xdr:ext cx="5742337" cy="3501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9BC166B-4970-456F-B5C2-8B7DCD04D488}"/>
                </a:ext>
              </a:extLst>
            </xdr:cNvPr>
            <xdr:cNvSpPr txBox="1"/>
          </xdr:nvSpPr>
          <xdr:spPr>
            <a:xfrm>
              <a:off x="3203543" y="415369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300</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r>
                        <a:rPr lang="en-US" sz="1200" b="0" i="1">
                          <a:latin typeface="Cambria Math" panose="02040503050406030204" pitchFamily="18" charset="0"/>
                          <a:ea typeface="Cambria Math" panose="02040503050406030204" pitchFamily="18" charset="0"/>
                        </a:rPr>
                        <m:t> −</m:t>
                      </m:r>
                      <m:r>
                        <a:rPr lang="en-US" sz="1200" b="0" i="1">
                          <a:latin typeface="Cambria Math" panose="02040503050406030204" pitchFamily="18" charset="0"/>
                          <a:ea typeface="Cambria Math" panose="02040503050406030204" pitchFamily="18" charset="0"/>
                        </a:rPr>
                        <m:t>3</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e>
                  </m:d>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297</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000</m:t>
                  </m:r>
                  <m:r>
                    <a:rPr lang="en-US" sz="1200" b="0" i="1">
                      <a:solidFill>
                        <a:schemeClr val="tx1"/>
                      </a:solidFill>
                      <a:effectLst/>
                      <a:latin typeface="Cambria Math" panose="02040503050406030204" pitchFamily="18" charset="0"/>
                      <a:ea typeface="Cambria Math" panose="02040503050406030204" pitchFamily="18" charset="0"/>
                      <a:cs typeface="+mn-cs"/>
                    </a:rPr>
                    <m:t>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6241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3" name="TextBox 2">
              <a:extLst>
                <a:ext uri="{FF2B5EF4-FFF2-40B4-BE49-F238E27FC236}">
                  <a16:creationId xmlns:a16="http://schemas.microsoft.com/office/drawing/2014/main" id="{F9BC166B-4970-456F-B5C2-8B7DCD04D488}"/>
                </a:ext>
              </a:extLst>
            </xdr:cNvPr>
            <xdr:cNvSpPr txBox="1"/>
          </xdr:nvSpPr>
          <xdr:spPr>
            <a:xfrm>
              <a:off x="3203543" y="415369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(300,000 −3,000)=297</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=6241/(1+𝐼𝑅𝑅)^(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18</xdr:row>
      <xdr:rowOff>130333</xdr:rowOff>
    </xdr:from>
    <xdr:ext cx="5742337" cy="352789"/>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408A478B-5197-461F-9581-5D580D3D893E}"/>
                </a:ext>
              </a:extLst>
            </xdr:cNvPr>
            <xdr:cNvSpPr txBox="1"/>
          </xdr:nvSpPr>
          <xdr:spPr>
            <a:xfrm>
              <a:off x="3203543" y="643207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500</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r>
                        <a:rPr lang="en-US" sz="1200" b="0" i="1">
                          <a:latin typeface="Cambria Math" panose="02040503050406030204" pitchFamily="18" charset="0"/>
                          <a:ea typeface="Cambria Math" panose="02040503050406030204" pitchFamily="18" charset="0"/>
                        </a:rPr>
                        <m:t> −</m:t>
                      </m:r>
                      <m:r>
                        <a:rPr lang="en-US" sz="1200" b="0" i="1">
                          <a:latin typeface="Cambria Math" panose="02040503050406030204" pitchFamily="18" charset="0"/>
                          <a:ea typeface="Cambria Math" panose="02040503050406030204" pitchFamily="18" charset="0"/>
                        </a:rPr>
                        <m:t>2</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e>
                  </m:d>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498</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000</m:t>
                  </m:r>
                  <m:r>
                    <a:rPr lang="en-US" sz="1200" b="0" i="1">
                      <a:solidFill>
                        <a:schemeClr val="tx1"/>
                      </a:solidFill>
                      <a:effectLst/>
                      <a:latin typeface="Cambria Math" panose="02040503050406030204" pitchFamily="18" charset="0"/>
                      <a:ea typeface="Cambria Math" panose="02040503050406030204" pitchFamily="18" charset="0"/>
                      <a:cs typeface="+mn-cs"/>
                    </a:rPr>
                    <m:t>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5811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5911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4" name="TextBox 3">
              <a:extLst>
                <a:ext uri="{FF2B5EF4-FFF2-40B4-BE49-F238E27FC236}">
                  <a16:creationId xmlns:a16="http://schemas.microsoft.com/office/drawing/2014/main" id="{408A478B-5197-461F-9581-5D580D3D893E}"/>
                </a:ext>
              </a:extLst>
            </xdr:cNvPr>
            <xdr:cNvSpPr txBox="1"/>
          </xdr:nvSpPr>
          <xdr:spPr>
            <a:xfrm>
              <a:off x="3203543" y="643207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(1,500,000 −2,000)=1,498</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=5811/(1+𝐼𝑅𝑅)^(</a:t>
              </a:r>
              <a:r>
                <a:rPr lang="en-US" sz="1100" b="0" i="0">
                  <a:solidFill>
                    <a:schemeClr val="tx1"/>
                  </a:solidFill>
                  <a:effectLst/>
                  <a:latin typeface="Cambria Math" panose="02040503050406030204" pitchFamily="18" charset="0"/>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𝑡_3/365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5911/(1+𝐼𝑅𝑅)^(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170783</xdr:colOff>
      <xdr:row>24</xdr:row>
      <xdr:rowOff>160813</xdr:rowOff>
    </xdr:from>
    <xdr:ext cx="5742337" cy="342914"/>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E35443B-FB44-4946-8EF2-2D9E4AF92A2B}"/>
                </a:ext>
              </a:extLst>
            </xdr:cNvPr>
            <xdr:cNvSpPr txBox="1"/>
          </xdr:nvSpPr>
          <xdr:spPr>
            <a:xfrm>
              <a:off x="3302866" y="8374647"/>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200" b="0" i="1">
                      <a:latin typeface="Cambria Math" panose="02040503050406030204" pitchFamily="18" charset="0"/>
                      <a:ea typeface="Cambria Math" panose="02040503050406030204" pitchFamily="18" charset="0"/>
                    </a:rPr>
                    <m:t>(</m:t>
                  </m:r>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10</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000</m:t>
                      </m:r>
                      <m:r>
                        <a:rPr lang="en-US" sz="1200" b="0" i="1">
                          <a:latin typeface="Cambria Math" panose="02040503050406030204" pitchFamily="18" charset="0"/>
                          <a:ea typeface="Cambria Math" panose="02040503050406030204" pitchFamily="18" charset="0"/>
                        </a:rPr>
                        <m:t>) −</m:t>
                      </m:r>
                      <m:r>
                        <a:rPr lang="en-US" sz="1200" b="0" i="1">
                          <a:latin typeface="Cambria Math" panose="02040503050406030204" pitchFamily="18" charset="0"/>
                          <a:ea typeface="Cambria Math" panose="02040503050406030204" pitchFamily="18" charset="0"/>
                        </a:rPr>
                        <m:t>115</m:t>
                      </m:r>
                    </m:e>
                  </m:d>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9</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885</m:t>
                  </m:r>
                  <m:r>
                    <a:rPr lang="en-US" sz="1200" b="0" i="1">
                      <a:solidFill>
                        <a:schemeClr val="tx1"/>
                      </a:solidFill>
                      <a:effectLst/>
                      <a:latin typeface="Cambria Math" panose="02040503050406030204" pitchFamily="18" charset="0"/>
                      <a:ea typeface="Cambria Math" panose="02040503050406030204" pitchFamily="18" charset="0"/>
                      <a:cs typeface="+mn-cs"/>
                    </a:rPr>
                    <m:t>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879</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904</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5" name="TextBox 4">
              <a:extLst>
                <a:ext uri="{FF2B5EF4-FFF2-40B4-BE49-F238E27FC236}">
                  <a16:creationId xmlns:a16="http://schemas.microsoft.com/office/drawing/2014/main" id="{FE35443B-FB44-4946-8EF2-2D9E4AF92A2B}"/>
                </a:ext>
              </a:extLst>
            </xdr:cNvPr>
            <xdr:cNvSpPr txBox="1"/>
          </xdr:nvSpPr>
          <xdr:spPr>
            <a:xfrm>
              <a:off x="3302866" y="8374647"/>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((10,000) −115)=9</a:t>
              </a:r>
              <a:r>
                <a:rPr lang="en-US" sz="1200" b="0" i="0">
                  <a:solidFill>
                    <a:schemeClr val="tx1"/>
                  </a:solidFill>
                  <a:effectLst/>
                  <a:latin typeface="Cambria Math" panose="02040503050406030204" pitchFamily="18" charset="0"/>
                  <a:ea typeface="Cambria Math" panose="02040503050406030204" pitchFamily="18" charset="0"/>
                  <a:cs typeface="+mn-cs"/>
                </a:rPr>
                <a:t>,885 </a:t>
              </a:r>
              <a:r>
                <a:rPr lang="en-US" sz="1200" b="0" i="0">
                  <a:latin typeface="Cambria Math" panose="02040503050406030204" pitchFamily="18" charset="0"/>
                  <a:ea typeface="Cambria Math" panose="02040503050406030204" pitchFamily="18" charset="0"/>
                </a:rPr>
                <a:t>=879/(1+𝐼𝑅𝑅)^(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904/(1+𝐼𝑅𝑅)^(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tabSelected="1" showWhiteSpace="0" zoomScale="130" zoomScaleNormal="130" workbookViewId="0">
      <selection activeCell="A4" sqref="A4"/>
    </sheetView>
  </sheetViews>
  <sheetFormatPr defaultColWidth="0" defaultRowHeight="12.5" zeroHeight="1"/>
  <cols>
    <col min="1" max="1" width="2.36328125" style="36" customWidth="1"/>
    <col min="2" max="2" width="9" style="36" customWidth="1"/>
    <col min="3" max="3" width="20.36328125" style="34" customWidth="1"/>
    <col min="4" max="4" width="79.36328125" style="36" customWidth="1"/>
    <col min="5" max="5" width="8.90625" style="36" customWidth="1"/>
    <col min="6" max="6" width="3.6328125" style="36" customWidth="1"/>
    <col min="7" max="17" width="0" style="36" hidden="1" customWidth="1"/>
    <col min="18" max="16384" width="8.90625" style="36" hidden="1"/>
  </cols>
  <sheetData>
    <row r="1" spans="2:12" ht="13" thickBot="1"/>
    <row r="2" spans="2:12" ht="13" thickBot="1">
      <c r="B2" s="39"/>
      <c r="C2" s="40"/>
      <c r="D2" s="41"/>
      <c r="E2" s="42"/>
    </row>
    <row r="3" spans="2:12" ht="13" thickBot="1">
      <c r="B3" s="43"/>
      <c r="C3" s="157" t="s">
        <v>22</v>
      </c>
      <c r="D3" s="158"/>
      <c r="E3" s="44"/>
    </row>
    <row r="4" spans="2:12">
      <c r="B4" s="43"/>
      <c r="C4" s="46"/>
      <c r="D4" s="46"/>
      <c r="E4" s="44"/>
      <c r="K4" s="87"/>
      <c r="L4" s="87"/>
    </row>
    <row r="5" spans="2:12">
      <c r="B5" s="43"/>
      <c r="C5" s="45"/>
      <c r="D5" s="46"/>
      <c r="E5" s="44"/>
    </row>
    <row r="6" spans="2:12">
      <c r="B6" s="43"/>
      <c r="C6" s="156" t="s">
        <v>76</v>
      </c>
      <c r="D6" s="156"/>
      <c r="E6" s="44"/>
    </row>
    <row r="7" spans="2:12">
      <c r="B7" s="43"/>
      <c r="C7" s="37" t="s">
        <v>74</v>
      </c>
      <c r="D7" s="38" t="s">
        <v>27</v>
      </c>
      <c r="E7" s="44"/>
    </row>
    <row r="8" spans="2:12" ht="25">
      <c r="B8" s="43"/>
      <c r="C8" s="90" t="s">
        <v>4</v>
      </c>
      <c r="D8" s="88" t="s">
        <v>72</v>
      </c>
      <c r="E8" s="44"/>
    </row>
    <row r="9" spans="2:12" ht="25">
      <c r="B9" s="43"/>
      <c r="C9" s="90" t="s">
        <v>129</v>
      </c>
      <c r="D9" s="88" t="s">
        <v>130</v>
      </c>
      <c r="E9" s="44"/>
    </row>
    <row r="10" spans="2:12">
      <c r="B10" s="43"/>
      <c r="C10" s="90" t="s">
        <v>5</v>
      </c>
      <c r="D10" s="88" t="s">
        <v>81</v>
      </c>
      <c r="E10" s="44"/>
    </row>
    <row r="11" spans="2:12">
      <c r="B11" s="43"/>
      <c r="C11" s="90" t="s">
        <v>114</v>
      </c>
      <c r="D11" s="88" t="s">
        <v>116</v>
      </c>
      <c r="E11" s="44"/>
    </row>
    <row r="12" spans="2:12" ht="25">
      <c r="B12" s="43"/>
      <c r="C12" s="90" t="s">
        <v>10</v>
      </c>
      <c r="D12" s="88" t="s">
        <v>82</v>
      </c>
      <c r="E12" s="44"/>
    </row>
    <row r="13" spans="2:12" ht="25">
      <c r="B13" s="43"/>
      <c r="C13" s="90" t="s">
        <v>115</v>
      </c>
      <c r="D13" s="88" t="s">
        <v>117</v>
      </c>
      <c r="E13" s="44"/>
    </row>
    <row r="14" spans="2:12">
      <c r="B14" s="43"/>
      <c r="C14" s="90" t="s">
        <v>6</v>
      </c>
      <c r="D14" s="88" t="s">
        <v>120</v>
      </c>
      <c r="E14" s="44"/>
    </row>
    <row r="15" spans="2:12">
      <c r="B15" s="43"/>
      <c r="C15" s="90" t="s">
        <v>11</v>
      </c>
      <c r="D15" s="88" t="s">
        <v>73</v>
      </c>
      <c r="E15" s="44"/>
    </row>
    <row r="16" spans="2:12">
      <c r="B16" s="43"/>
      <c r="C16" s="90" t="s">
        <v>15</v>
      </c>
      <c r="D16" s="88" t="s">
        <v>118</v>
      </c>
      <c r="E16" s="44"/>
    </row>
    <row r="17" spans="2:5" ht="25">
      <c r="B17" s="43"/>
      <c r="C17" s="90" t="s">
        <v>16</v>
      </c>
      <c r="D17" s="88" t="s">
        <v>119</v>
      </c>
      <c r="E17" s="44"/>
    </row>
    <row r="18" spans="2:5" ht="50">
      <c r="B18" s="43"/>
      <c r="C18" s="90" t="s">
        <v>32</v>
      </c>
      <c r="D18" s="89" t="s">
        <v>83</v>
      </c>
      <c r="E18" s="44"/>
    </row>
    <row r="19" spans="2:5" ht="39" customHeight="1">
      <c r="B19" s="43"/>
      <c r="C19" s="90" t="s">
        <v>33</v>
      </c>
      <c r="D19" s="89" t="s">
        <v>84</v>
      </c>
      <c r="E19" s="44"/>
    </row>
    <row r="20" spans="2:5" ht="25">
      <c r="B20" s="43"/>
      <c r="C20" s="90" t="s">
        <v>28</v>
      </c>
      <c r="D20" s="89" t="s">
        <v>85</v>
      </c>
      <c r="E20" s="44"/>
    </row>
    <row r="21" spans="2:5">
      <c r="B21" s="43"/>
      <c r="C21" s="90" t="s">
        <v>29</v>
      </c>
      <c r="D21" s="89" t="s">
        <v>30</v>
      </c>
      <c r="E21" s="44"/>
    </row>
    <row r="22" spans="2:5">
      <c r="B22" s="43"/>
      <c r="C22" s="90" t="s">
        <v>31</v>
      </c>
      <c r="D22" s="89" t="s">
        <v>87</v>
      </c>
      <c r="E22" s="44"/>
    </row>
    <row r="23" spans="2:5" ht="25">
      <c r="B23" s="43"/>
      <c r="C23" s="90" t="s">
        <v>55</v>
      </c>
      <c r="D23" s="88" t="s">
        <v>75</v>
      </c>
      <c r="E23" s="44"/>
    </row>
    <row r="24" spans="2:5" ht="13" thickBot="1">
      <c r="B24" s="47"/>
      <c r="C24" s="48"/>
      <c r="D24" s="48"/>
      <c r="E24" s="49"/>
    </row>
    <row r="25" spans="2:5">
      <c r="C25" s="35"/>
      <c r="D25" s="35"/>
    </row>
    <row r="26" spans="2:5" hidden="1">
      <c r="C26" s="35"/>
      <c r="D26" s="35"/>
    </row>
    <row r="27" spans="2:5" hidden="1">
      <c r="C27" s="35"/>
      <c r="D27" s="35"/>
    </row>
    <row r="28" spans="2:5" hidden="1">
      <c r="C28" s="35"/>
      <c r="D28" s="35"/>
    </row>
    <row r="29" spans="2:5" hidden="1">
      <c r="C29" s="35"/>
      <c r="D29" s="35"/>
    </row>
    <row r="30" spans="2:5" hidden="1">
      <c r="C30" s="35"/>
      <c r="D30" s="35"/>
    </row>
    <row r="31" spans="2:5" hidden="1">
      <c r="C31" s="35"/>
    </row>
    <row r="32" spans="2:5" hidden="1">
      <c r="C32" s="35"/>
    </row>
    <row r="33" spans="3:3" hidden="1">
      <c r="C33" s="35"/>
    </row>
    <row r="34" spans="3:3" hidden="1">
      <c r="C34" s="35"/>
    </row>
    <row r="35" spans="3:3"/>
    <row r="36" spans="3:3"/>
    <row r="37" spans="3:3"/>
    <row r="38" spans="3:3"/>
    <row r="39" spans="3:3"/>
  </sheetData>
  <sheetProtection algorithmName="SHA-512" hashValue="sZrjrwnVEj+XhYqQvjG/SlmoFKXhQvtpdo7MFbJz4zsVd8c1Hqq0nxhivaD6YbtkeJGsx6yZ+Ro/3VWRlp7NSA==" saltValue="D8m81IGkQUYUPPQe1lLb7A==" spinCount="100000" sheet="1" objects="1" scenarios="1"/>
  <mergeCells count="2">
    <mergeCell ref="C6:D6"/>
    <mergeCell ref="C3:D3"/>
  </mergeCells>
  <pageMargins left="0.7" right="0.7" top="0.75" bottom="0.75" header="0.3" footer="0.3"/>
  <pageSetup orientation="portrait" r:id="rId1"/>
  <headerFooter>
    <oddHeader>&amp;C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EE4CE"/>
  </sheetPr>
  <dimension ref="A2:S30"/>
  <sheetViews>
    <sheetView showGridLines="0" topLeftCell="A7" zoomScale="76" zoomScaleNormal="40" zoomScalePageLayoutView="89" workbookViewId="0">
      <selection activeCell="G29" sqref="G29"/>
    </sheetView>
  </sheetViews>
  <sheetFormatPr defaultColWidth="0" defaultRowHeight="14" customHeight="1"/>
  <cols>
    <col min="1" max="1" width="2.6328125" style="1" customWidth="1"/>
    <col min="2" max="2" width="6.36328125" style="1" customWidth="1"/>
    <col min="3" max="3" width="4.36328125" style="1" customWidth="1"/>
    <col min="4" max="4" width="27.08984375" style="1" bestFit="1" customWidth="1"/>
    <col min="5" max="5" width="10.6328125" style="1" bestFit="1" customWidth="1"/>
    <col min="6" max="6" width="12.453125" style="1" customWidth="1"/>
    <col min="7" max="7" width="25.08984375" style="1" bestFit="1" customWidth="1"/>
    <col min="8" max="9" width="21.90625" style="1" customWidth="1"/>
    <col min="10" max="10" width="18.453125" style="1" customWidth="1"/>
    <col min="11" max="11" width="17.453125" style="1" customWidth="1"/>
    <col min="12" max="13" width="18.54296875" style="30" bestFit="1" customWidth="1"/>
    <col min="14" max="14" width="3.6328125" style="1" customWidth="1"/>
    <col min="15" max="16" width="4" style="1" customWidth="1"/>
    <col min="17" max="17" width="0" style="1" hidden="1" customWidth="1"/>
    <col min="18" max="16384" width="8.90625" style="1" hidden="1"/>
  </cols>
  <sheetData>
    <row r="2" spans="2:19" ht="14" customHeight="1">
      <c r="B2" s="62" t="s">
        <v>43</v>
      </c>
      <c r="J2" s="62" t="s">
        <v>44</v>
      </c>
      <c r="L2" s="1"/>
    </row>
    <row r="3" spans="2:19" ht="18" customHeight="1">
      <c r="B3" s="169" t="s">
        <v>132</v>
      </c>
      <c r="C3" s="169"/>
      <c r="D3" s="169"/>
      <c r="E3" s="169"/>
      <c r="F3" s="169"/>
      <c r="G3" s="169"/>
      <c r="H3" s="169"/>
      <c r="J3" s="124"/>
      <c r="K3" s="159" t="s">
        <v>45</v>
      </c>
      <c r="L3" s="159"/>
      <c r="M3" s="159"/>
      <c r="N3" s="159"/>
    </row>
    <row r="4" spans="2:19" ht="18" customHeight="1">
      <c r="B4" s="169"/>
      <c r="C4" s="169"/>
      <c r="D4" s="169"/>
      <c r="E4" s="169"/>
      <c r="F4" s="169"/>
      <c r="G4" s="169"/>
      <c r="H4" s="169"/>
      <c r="J4" s="53"/>
      <c r="K4" s="159" t="s">
        <v>51</v>
      </c>
      <c r="L4" s="159"/>
      <c r="M4" s="159"/>
      <c r="N4" s="159"/>
    </row>
    <row r="5" spans="2:19" ht="18" customHeight="1">
      <c r="B5" s="169"/>
      <c r="C5" s="169"/>
      <c r="D5" s="169"/>
      <c r="E5" s="169"/>
      <c r="F5" s="169"/>
      <c r="G5" s="169"/>
      <c r="H5" s="169"/>
      <c r="J5" s="3"/>
      <c r="K5" s="159" t="s">
        <v>52</v>
      </c>
      <c r="L5" s="159"/>
      <c r="M5" s="159"/>
      <c r="N5" s="159"/>
    </row>
    <row r="6" spans="2:19" ht="18" customHeight="1">
      <c r="B6" s="169"/>
      <c r="C6" s="169"/>
      <c r="D6" s="169"/>
      <c r="E6" s="169"/>
      <c r="F6" s="169"/>
      <c r="G6" s="169"/>
      <c r="H6" s="169"/>
      <c r="J6" s="54"/>
      <c r="K6" s="159" t="s">
        <v>46</v>
      </c>
      <c r="L6" s="159"/>
      <c r="M6" s="159"/>
      <c r="N6" s="159"/>
      <c r="Q6" s="125"/>
      <c r="R6" s="125"/>
      <c r="S6" s="125"/>
    </row>
    <row r="7" spans="2:19" ht="18" customHeight="1">
      <c r="B7" s="169"/>
      <c r="C7" s="169"/>
      <c r="D7" s="169"/>
      <c r="E7" s="169"/>
      <c r="F7" s="169"/>
      <c r="G7" s="169"/>
      <c r="H7" s="169"/>
      <c r="J7" s="55"/>
      <c r="K7" s="159" t="s">
        <v>47</v>
      </c>
      <c r="L7" s="159"/>
      <c r="M7" s="159"/>
      <c r="N7" s="159"/>
    </row>
    <row r="8" spans="2:19" ht="18" customHeight="1">
      <c r="B8" s="169"/>
      <c r="C8" s="169"/>
      <c r="D8" s="169"/>
      <c r="E8" s="169"/>
      <c r="F8" s="169"/>
      <c r="G8" s="169"/>
      <c r="H8" s="169"/>
      <c r="J8" s="56"/>
      <c r="K8" s="159" t="s">
        <v>48</v>
      </c>
      <c r="L8" s="159"/>
      <c r="M8" s="159"/>
      <c r="N8" s="159"/>
    </row>
    <row r="9" spans="2:19" ht="18" customHeight="1">
      <c r="B9" s="169"/>
      <c r="C9" s="169"/>
      <c r="D9" s="169"/>
      <c r="E9" s="169"/>
      <c r="F9" s="169"/>
      <c r="G9" s="169"/>
      <c r="H9" s="169"/>
      <c r="J9" s="61"/>
      <c r="K9" s="159" t="s">
        <v>50</v>
      </c>
      <c r="L9" s="159"/>
      <c r="M9" s="159"/>
      <c r="N9" s="159"/>
    </row>
    <row r="10" spans="2:19" ht="18" customHeight="1">
      <c r="B10" s="169"/>
      <c r="C10" s="169"/>
      <c r="D10" s="169"/>
      <c r="E10" s="169"/>
      <c r="F10" s="169"/>
      <c r="G10" s="169"/>
      <c r="H10" s="169"/>
      <c r="J10" s="57"/>
      <c r="K10" s="159" t="s">
        <v>110</v>
      </c>
      <c r="L10" s="159"/>
      <c r="M10" s="159"/>
      <c r="N10" s="159"/>
    </row>
    <row r="11" spans="2:19" ht="18" customHeight="1">
      <c r="B11" s="169"/>
      <c r="C11" s="169"/>
      <c r="D11" s="169"/>
      <c r="E11" s="169"/>
      <c r="F11" s="169"/>
      <c r="G11" s="169"/>
      <c r="H11" s="169"/>
      <c r="L11" s="1"/>
    </row>
    <row r="12" spans="2:19" ht="8" customHeight="1" thickBot="1"/>
    <row r="13" spans="2:19" ht="14" customHeight="1">
      <c r="B13" s="18"/>
      <c r="C13" s="19"/>
      <c r="D13" s="19"/>
      <c r="E13" s="19"/>
      <c r="F13" s="19"/>
      <c r="G13" s="19"/>
      <c r="H13" s="19"/>
      <c r="I13" s="19"/>
      <c r="J13" s="19"/>
      <c r="K13" s="19"/>
      <c r="L13" s="31"/>
      <c r="M13" s="31"/>
      <c r="N13" s="20"/>
    </row>
    <row r="14" spans="2:19" ht="14" customHeight="1">
      <c r="B14" s="21"/>
      <c r="C14" s="196" t="s">
        <v>20</v>
      </c>
      <c r="D14" s="196"/>
      <c r="E14" s="196"/>
      <c r="F14" s="196"/>
      <c r="G14" s="196"/>
      <c r="H14" s="196"/>
      <c r="I14" s="196"/>
      <c r="J14" s="196"/>
      <c r="K14" s="196"/>
      <c r="L14" s="196"/>
      <c r="M14" s="196"/>
      <c r="N14" s="22"/>
    </row>
    <row r="15" spans="2:19" ht="14" customHeight="1">
      <c r="B15" s="21"/>
      <c r="N15" s="22"/>
    </row>
    <row r="16" spans="2:19" ht="40.25" customHeight="1">
      <c r="B16" s="21"/>
      <c r="D16" s="164" t="s">
        <v>0</v>
      </c>
      <c r="E16" s="165"/>
      <c r="F16" s="126"/>
      <c r="G16" s="28" t="s">
        <v>86</v>
      </c>
      <c r="H16" s="28" t="s">
        <v>13</v>
      </c>
      <c r="I16" s="29" t="s">
        <v>25</v>
      </c>
      <c r="J16" s="29" t="s">
        <v>102</v>
      </c>
      <c r="K16" s="126"/>
      <c r="L16" s="28" t="s">
        <v>7</v>
      </c>
      <c r="N16" s="22"/>
    </row>
    <row r="17" spans="2:15" ht="14" customHeight="1">
      <c r="B17" s="21"/>
      <c r="D17" s="3" t="s">
        <v>131</v>
      </c>
      <c r="E17" s="145">
        <v>300000</v>
      </c>
      <c r="G17" s="3" t="s">
        <v>32</v>
      </c>
      <c r="H17" s="149" t="s">
        <v>68</v>
      </c>
      <c r="I17" s="145">
        <v>3000</v>
      </c>
      <c r="J17" s="78">
        <f>IF(H17="Annual",I17/($E$22/12),IF(H17="Monthly",I17/$E$22,I17))</f>
        <v>3000</v>
      </c>
      <c r="L17" s="58">
        <f ca="1">IFERROR('Auto Finance- Avg Insurance'!F6,"")</f>
        <v>0.10029270052909853</v>
      </c>
      <c r="N17" s="22"/>
    </row>
    <row r="18" spans="2:15" ht="14" customHeight="1">
      <c r="B18" s="21"/>
      <c r="D18" s="3" t="s">
        <v>128</v>
      </c>
      <c r="E18" s="146">
        <v>5.1999999999999998E-2</v>
      </c>
      <c r="G18" s="3" t="s">
        <v>33</v>
      </c>
      <c r="H18" s="149" t="s">
        <v>68</v>
      </c>
      <c r="I18" s="145"/>
      <c r="J18" s="78">
        <f t="shared" ref="J18:J21" si="0">IF(H18="Annual",I18/($E$22/12),IF(H18="Monthly",I18/$E$22,I18))</f>
        <v>0</v>
      </c>
      <c r="N18" s="22"/>
    </row>
    <row r="19" spans="2:15" ht="14" customHeight="1">
      <c r="B19" s="21"/>
      <c r="G19" s="3" t="s">
        <v>34</v>
      </c>
      <c r="H19" s="149" t="s">
        <v>69</v>
      </c>
      <c r="I19" s="145">
        <f>SUM(J25:J29)</f>
        <v>33120</v>
      </c>
      <c r="J19" s="78">
        <f>IF(H19="Annual",I19/($E$22/12),IF(H19="Monthly",I19/$E$22,I19))</f>
        <v>552</v>
      </c>
      <c r="L19" s="127"/>
      <c r="N19" s="22"/>
    </row>
    <row r="20" spans="2:15" ht="14" customHeight="1">
      <c r="B20" s="21"/>
      <c r="G20" s="3" t="s">
        <v>54</v>
      </c>
      <c r="H20" s="149" t="s">
        <v>68</v>
      </c>
      <c r="I20" s="145"/>
      <c r="J20" s="78">
        <f t="shared" si="0"/>
        <v>0</v>
      </c>
      <c r="L20" s="128"/>
      <c r="N20" s="22"/>
    </row>
    <row r="21" spans="2:15" ht="14" customHeight="1">
      <c r="B21" s="21"/>
      <c r="D21" s="162" t="s">
        <v>1</v>
      </c>
      <c r="E21" s="162"/>
      <c r="G21" s="160" t="s">
        <v>23</v>
      </c>
      <c r="H21" s="161"/>
      <c r="I21" s="91">
        <f>SUM(I17:I20)</f>
        <v>36120</v>
      </c>
      <c r="J21" s="132">
        <f t="shared" si="0"/>
        <v>36120</v>
      </c>
      <c r="N21" s="22"/>
    </row>
    <row r="22" spans="2:15" ht="14" customHeight="1">
      <c r="B22" s="21"/>
      <c r="D22" s="129" t="s">
        <v>17</v>
      </c>
      <c r="E22" s="147">
        <v>60</v>
      </c>
      <c r="N22" s="22"/>
    </row>
    <row r="23" spans="2:15" ht="14" customHeight="1">
      <c r="B23" s="21"/>
      <c r="D23" s="129" t="s">
        <v>36</v>
      </c>
      <c r="E23" s="148">
        <v>44562</v>
      </c>
      <c r="G23" s="28" t="s">
        <v>62</v>
      </c>
      <c r="H23" s="145">
        <v>320000</v>
      </c>
      <c r="J23" s="76"/>
      <c r="K23" s="30"/>
      <c r="M23" s="130"/>
      <c r="N23" s="22"/>
    </row>
    <row r="24" spans="2:15" s="97" customFormat="1" ht="23">
      <c r="B24" s="98"/>
      <c r="D24" s="131" t="s">
        <v>37</v>
      </c>
      <c r="E24" s="101">
        <f>DATEDIF(E23,E25,"m")</f>
        <v>0</v>
      </c>
      <c r="G24" s="29" t="s">
        <v>60</v>
      </c>
      <c r="H24" s="29" t="s">
        <v>61</v>
      </c>
      <c r="I24" s="29" t="s">
        <v>78</v>
      </c>
      <c r="J24" s="29" t="s">
        <v>63</v>
      </c>
      <c r="K24" s="29" t="s">
        <v>64</v>
      </c>
      <c r="L24" s="29" t="s">
        <v>24</v>
      </c>
      <c r="M24" s="29" t="s">
        <v>88</v>
      </c>
      <c r="N24" s="102"/>
    </row>
    <row r="25" spans="2:15" ht="14" customHeight="1">
      <c r="B25" s="21"/>
      <c r="D25" s="129" t="s">
        <v>38</v>
      </c>
      <c r="E25" s="148">
        <v>44586</v>
      </c>
      <c r="G25" s="73">
        <f>IF(E22=0,"",1)</f>
        <v>1</v>
      </c>
      <c r="H25" s="146">
        <v>0.03</v>
      </c>
      <c r="I25" s="75">
        <v>0.2</v>
      </c>
      <c r="J25" s="57">
        <f>IF(G25&lt;&gt;"",H23*H25*1.15,0)</f>
        <v>11040</v>
      </c>
      <c r="K25" s="57" t="str">
        <f>IFERROR(IF($H$19="Annual",12*G25,IF($H$19="1st Installment",1,"")),"")</f>
        <v/>
      </c>
      <c r="L25" s="57">
        <f>IF(G25="","",IF($H$19="Monthly",J25/12,J25))</f>
        <v>920</v>
      </c>
      <c r="M25" s="57">
        <f>IF(G25&lt;&gt;"",AVERAGE($L$25:L29),"")</f>
        <v>552</v>
      </c>
      <c r="N25" s="22"/>
      <c r="O25" s="96"/>
    </row>
    <row r="26" spans="2:15" ht="14" customHeight="1">
      <c r="B26" s="21"/>
      <c r="G26" s="73">
        <f>IF(G25&lt;($E$22/12),G25+1,"")</f>
        <v>2</v>
      </c>
      <c r="H26" s="146">
        <v>0.03</v>
      </c>
      <c r="I26" s="75">
        <v>0.2</v>
      </c>
      <c r="J26" s="57">
        <f>IF(G26&lt;&gt;"",($H$23-($H$23*I25)*G25)*H26*1.15,0)</f>
        <v>8832</v>
      </c>
      <c r="K26" s="57" t="str">
        <f>IFERROR(IF($H$19="Annual",12*G26,""),"")</f>
        <v/>
      </c>
      <c r="L26" s="57">
        <f>IF(G26="","",IF($H$19="Monthly",J26/12,J26))</f>
        <v>736</v>
      </c>
      <c r="M26" s="57">
        <f>IF(G26&lt;&gt;"",AVERAGE($L$25:L30),"")</f>
        <v>552</v>
      </c>
      <c r="N26" s="22"/>
      <c r="O26" s="96"/>
    </row>
    <row r="27" spans="2:15" ht="14" customHeight="1">
      <c r="B27" s="21"/>
      <c r="G27" s="73">
        <f>IF(G26&lt;($E$22/12),G26+1,"")</f>
        <v>3</v>
      </c>
      <c r="H27" s="146">
        <v>0.03</v>
      </c>
      <c r="I27" s="75">
        <v>0.2</v>
      </c>
      <c r="J27" s="57">
        <f t="shared" ref="J27:J29" si="1">IF(G27&lt;&gt;"",($H$23-($H$23*I26)*G26)*H27*1.15,0)</f>
        <v>6623.9999999999991</v>
      </c>
      <c r="K27" s="57" t="str">
        <f>IFERROR(IF($H$19="Annual",12*G27,""),"")</f>
        <v/>
      </c>
      <c r="L27" s="57">
        <f>IF(G27="","",IF($H$19="Monthly",J27/12,J27))</f>
        <v>551.99999999999989</v>
      </c>
      <c r="M27" s="57">
        <f>IF(G27&lt;&gt;"",AVERAGE($L$25:L31),"")</f>
        <v>552</v>
      </c>
      <c r="N27" s="22"/>
      <c r="O27" s="96"/>
    </row>
    <row r="28" spans="2:15" ht="14" customHeight="1">
      <c r="B28" s="21"/>
      <c r="D28" s="162" t="s">
        <v>9</v>
      </c>
      <c r="E28" s="162"/>
      <c r="G28" s="73">
        <f>IF(G27&lt;($E$22/12),G27+1,"")</f>
        <v>4</v>
      </c>
      <c r="H28" s="146">
        <v>0.03</v>
      </c>
      <c r="I28" s="75">
        <v>0.2</v>
      </c>
      <c r="J28" s="57">
        <f t="shared" si="1"/>
        <v>4416</v>
      </c>
      <c r="K28" s="57" t="str">
        <f>IFERROR(IF($H$19="Annual",12*G28,""),"")</f>
        <v/>
      </c>
      <c r="L28" s="57">
        <f>IF(G28="","",IF($H$19="Monthly",J28/12,J28))</f>
        <v>368</v>
      </c>
      <c r="M28" s="57">
        <f>IF(G28&lt;&gt;"",AVERAGE($L$25:L32),"")</f>
        <v>552</v>
      </c>
      <c r="N28" s="22"/>
      <c r="O28" s="96"/>
    </row>
    <row r="29" spans="2:15" ht="14" customHeight="1">
      <c r="B29" s="21"/>
      <c r="D29" s="129" t="s">
        <v>12</v>
      </c>
      <c r="E29" s="145"/>
      <c r="G29" s="73">
        <f>IF(G28&lt;($E$22/12),G28+1,"")</f>
        <v>5</v>
      </c>
      <c r="H29" s="146">
        <v>0.03</v>
      </c>
      <c r="I29" s="75">
        <v>0.2</v>
      </c>
      <c r="J29" s="57">
        <f t="shared" si="1"/>
        <v>2208</v>
      </c>
      <c r="K29" s="57" t="str">
        <f>IFERROR(IF($H$19="Annual",12*G29,""),"")</f>
        <v/>
      </c>
      <c r="L29" s="57">
        <f>IF(G29="","",IF($H$19="Monthly",J29/12,J29))</f>
        <v>184</v>
      </c>
      <c r="M29" s="57">
        <f>IF(G29&lt;&gt;"",AVERAGE($L$25:L33),"")</f>
        <v>552</v>
      </c>
      <c r="N29" s="22"/>
      <c r="O29" s="96"/>
    </row>
    <row r="30" spans="2:15" ht="14" customHeight="1" thickBot="1">
      <c r="B30" s="23"/>
      <c r="C30" s="24"/>
      <c r="D30" s="24"/>
      <c r="E30" s="24"/>
      <c r="F30" s="24"/>
      <c r="G30" s="24"/>
      <c r="H30" s="24"/>
      <c r="I30" s="24"/>
      <c r="J30" s="24"/>
      <c r="K30" s="24"/>
      <c r="L30" s="33"/>
      <c r="M30" s="33"/>
      <c r="N30" s="26"/>
    </row>
  </sheetData>
  <sheetProtection algorithmName="SHA-512" hashValue="QbsSDdTJVG3pSA03WVzB2rJ1oR+qu68L2Zbo7A/HpRF+uwTM/KCuWM9sDWCrU82HrzFHFtZnONK8p3DpIHQNJQ==" saltValue="upF++mRaNdxbF6RPhU1BWg==" spinCount="100000" sheet="1" objects="1" scenarios="1"/>
  <mergeCells count="14">
    <mergeCell ref="B3:H11"/>
    <mergeCell ref="K3:N3"/>
    <mergeCell ref="K4:N4"/>
    <mergeCell ref="K5:N5"/>
    <mergeCell ref="K6:N6"/>
    <mergeCell ref="K7:N7"/>
    <mergeCell ref="K8:N8"/>
    <mergeCell ref="K9:N9"/>
    <mergeCell ref="K10:N10"/>
    <mergeCell ref="D21:E21"/>
    <mergeCell ref="G21:H21"/>
    <mergeCell ref="D28:E28"/>
    <mergeCell ref="C14:M14"/>
    <mergeCell ref="D16:E16"/>
  </mergeCells>
  <conditionalFormatting sqref="E25">
    <cfRule type="expression" dxfId="0" priority="3">
      <formula>$E25&lt;$E23</formula>
    </cfRule>
  </conditionalFormatting>
  <dataValidations count="2">
    <dataValidation type="list" allowBlank="1" showInputMessage="1" showErrorMessage="1" sqref="H17:H20">
      <formula1>"Monthly, Annual, Upfront payment, 1st Installment"</formula1>
    </dataValidation>
    <dataValidation type="list" allowBlank="1" showInputMessage="1" showErrorMessage="1" sqref="H21">
      <formula1>"Monthly, Annual, Beginning of the loan, End of the loan"</formula1>
    </dataValidation>
  </dataValidations>
  <pageMargins left="0.7" right="0.7" top="0.75" bottom="0.75" header="0.3" footer="0.3"/>
  <pageSetup orientation="portrait" r:id="rId1"/>
  <headerFooter>
    <oddHeader>&amp;C
&amp;G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EE4CE"/>
  </sheetPr>
  <dimension ref="A1:X83"/>
  <sheetViews>
    <sheetView showGridLines="0" topLeftCell="B1" zoomScaleNormal="100" workbookViewId="0">
      <selection activeCell="D11" sqref="D11"/>
    </sheetView>
  </sheetViews>
  <sheetFormatPr defaultColWidth="8.90625" defaultRowHeight="11.5"/>
  <cols>
    <col min="1" max="1" width="0" style="1" hidden="1" customWidth="1"/>
    <col min="2" max="7" width="24.36328125" style="1" customWidth="1"/>
    <col min="8" max="8" width="29.08984375" style="1" bestFit="1" customWidth="1"/>
    <col min="9" max="14" width="24.36328125" style="1" customWidth="1"/>
    <col min="15" max="15" width="17.36328125" style="1" bestFit="1" customWidth="1"/>
    <col min="16" max="16" width="11" style="1" bestFit="1" customWidth="1"/>
    <col min="17" max="17" width="12" style="1" bestFit="1" customWidth="1"/>
    <col min="18" max="18" width="8.90625" style="1"/>
    <col min="19" max="19" width="10.453125" style="1" bestFit="1" customWidth="1"/>
    <col min="20" max="20" width="11.6328125" style="1" bestFit="1" customWidth="1"/>
    <col min="21" max="21" width="10.54296875" style="65" bestFit="1" customWidth="1"/>
    <col min="22" max="23" width="8.90625" style="1" hidden="1" customWidth="1"/>
    <col min="24" max="16384" width="8.90625" style="1"/>
  </cols>
  <sheetData>
    <row r="1" spans="2:24">
      <c r="V1" s="1">
        <f>ROW(S17)</f>
        <v>17</v>
      </c>
      <c r="W1" s="1">
        <f>ROW(T17)</f>
        <v>17</v>
      </c>
    </row>
    <row r="2" spans="2:24" ht="17" customHeight="1">
      <c r="B2" s="172" t="s">
        <v>14</v>
      </c>
      <c r="C2" s="172"/>
      <c r="D2" s="172"/>
      <c r="E2" s="172"/>
      <c r="F2" s="172"/>
      <c r="G2" s="172"/>
      <c r="H2" s="172"/>
      <c r="I2" s="172"/>
      <c r="J2" s="172"/>
      <c r="K2" s="172"/>
      <c r="L2" s="172"/>
      <c r="M2" s="172"/>
      <c r="N2" s="172"/>
      <c r="O2" s="172"/>
      <c r="V2" s="1">
        <f>COLUMN(S17)</f>
        <v>19</v>
      </c>
      <c r="W2" s="1">
        <f>COLUMN(T17)</f>
        <v>20</v>
      </c>
    </row>
    <row r="3" spans="2:24">
      <c r="W3" s="50">
        <f>COUNTIF(S17:S81,"&gt;0")-1</f>
        <v>61</v>
      </c>
    </row>
    <row r="4" spans="2:24">
      <c r="B4" s="170" t="s">
        <v>19</v>
      </c>
      <c r="C4" s="170"/>
      <c r="D4" s="170"/>
      <c r="E4" s="170"/>
      <c r="F4" s="170"/>
    </row>
    <row r="6" spans="2:24">
      <c r="B6" s="3" t="s">
        <v>17</v>
      </c>
      <c r="C6" s="3">
        <f>'Input-AF (Avg Insurance) '!E22</f>
        <v>60</v>
      </c>
      <c r="E6" s="17" t="s">
        <v>7</v>
      </c>
      <c r="F6" s="14">
        <f ca="1">XIRR(T17:INDIRECT(ADDRESS($W$1+$W$3,$W$2)),S17:INDIRECT(ADDRESS($V$1+$W$3,$V$2)))</f>
        <v>0.10029270052909853</v>
      </c>
    </row>
    <row r="8" spans="2:24">
      <c r="B8" s="3" t="s">
        <v>2</v>
      </c>
      <c r="C8" s="5">
        <f>'Input-AF (Avg Insurance) '!E17</f>
        <v>300000</v>
      </c>
    </row>
    <row r="9" spans="2:24">
      <c r="B9" s="3" t="s">
        <v>114</v>
      </c>
      <c r="C9" s="5">
        <f>-SUM(E18:E82)</f>
        <v>41333.991721195613</v>
      </c>
      <c r="D9" s="8"/>
      <c r="T9" s="109"/>
      <c r="X9" s="15"/>
    </row>
    <row r="10" spans="2:24">
      <c r="B10" s="3" t="s">
        <v>8</v>
      </c>
      <c r="C10" s="5">
        <f>SUM($N$17:$N$82)</f>
        <v>36120</v>
      </c>
      <c r="F10" s="106"/>
      <c r="X10" s="7"/>
    </row>
    <row r="11" spans="2:24">
      <c r="B11" s="3" t="s">
        <v>42</v>
      </c>
      <c r="C11" s="9">
        <f>EDATE('Input-AF (Avg Insurance) '!E25,C6)</f>
        <v>46412</v>
      </c>
      <c r="X11" s="8"/>
    </row>
    <row r="13" spans="2:24">
      <c r="B13" s="3" t="s">
        <v>12</v>
      </c>
      <c r="C13" s="95">
        <f>'Input-AF (Avg Insurance) '!E29</f>
        <v>0</v>
      </c>
      <c r="H13" s="65"/>
      <c r="I13" s="2"/>
      <c r="P13" s="15"/>
    </row>
    <row r="14" spans="2:24">
      <c r="F14" s="12"/>
      <c r="H14" s="65"/>
      <c r="P14" s="7"/>
      <c r="Q14" s="8"/>
      <c r="R14" s="8"/>
    </row>
    <row r="15" spans="2:24">
      <c r="H15" s="197"/>
      <c r="I15" s="197"/>
      <c r="N15" s="12"/>
      <c r="S15" s="171" t="s">
        <v>39</v>
      </c>
      <c r="T15" s="171"/>
    </row>
    <row r="16" spans="2:24">
      <c r="B16" s="13" t="s">
        <v>3</v>
      </c>
      <c r="C16" s="13" t="s">
        <v>4</v>
      </c>
      <c r="D16" s="13" t="s">
        <v>5</v>
      </c>
      <c r="E16" s="13" t="s">
        <v>114</v>
      </c>
      <c r="F16" s="13" t="s">
        <v>10</v>
      </c>
      <c r="G16" s="13" t="s">
        <v>115</v>
      </c>
      <c r="H16" s="13" t="s">
        <v>6</v>
      </c>
      <c r="I16" s="13" t="s">
        <v>11</v>
      </c>
      <c r="J16" s="13" t="s">
        <v>32</v>
      </c>
      <c r="K16" s="13" t="s">
        <v>33</v>
      </c>
      <c r="L16" s="13" t="s">
        <v>34</v>
      </c>
      <c r="M16" s="13" t="s">
        <v>56</v>
      </c>
      <c r="N16" s="13" t="s">
        <v>15</v>
      </c>
      <c r="O16" s="13" t="s">
        <v>16</v>
      </c>
      <c r="S16" s="13" t="s">
        <v>40</v>
      </c>
      <c r="T16" s="13" t="s">
        <v>41</v>
      </c>
    </row>
    <row r="17" spans="1:24">
      <c r="B17" s="16">
        <v>0</v>
      </c>
      <c r="C17" s="9">
        <f>'Input-AF (Avg Insurance) '!E23</f>
        <v>44562</v>
      </c>
      <c r="D17" s="6">
        <v>0</v>
      </c>
      <c r="E17" s="6">
        <v>0</v>
      </c>
      <c r="F17" s="6">
        <v>0</v>
      </c>
      <c r="G17" s="6">
        <v>0</v>
      </c>
      <c r="H17" s="6">
        <v>0</v>
      </c>
      <c r="I17" s="6">
        <v>0</v>
      </c>
      <c r="J17" s="6" t="str">
        <f>IF(AND('Input-AF (Avg Insurance) '!$H$17="Upfront Payment",B17=0),'Input-AF (Avg Insurance) '!$I$17,"")</f>
        <v/>
      </c>
      <c r="K17" s="6" t="str">
        <f>IF(AND('Input-AF (Avg Insurance) '!$H$18="Upfront Payment",B17=0),'Input-AF (Avg Insurance) '!$J$18,"")</f>
        <v/>
      </c>
      <c r="L17" s="6" t="str">
        <f>IF(AND('Input-AF (Avg Insurance) '!$H$19="Upfront Payment",B17=0),'Input-AF (Avg Insurance) '!$I$19,"")</f>
        <v/>
      </c>
      <c r="M17" s="6" t="str">
        <f>IF(AND('Input-AF (Avg Insurance) '!$H$20="Upfront Payment",B17=0),'Input-AF (Avg Insurance) '!$J$20,"")</f>
        <v/>
      </c>
      <c r="N17" s="6">
        <f t="shared" ref="N17:N48" si="0">IF(B17&lt;&gt;"",SUM(J17:M17),"")</f>
        <v>0</v>
      </c>
      <c r="O17" s="6">
        <f>IF(C17&lt;&gt;"",SUM(K17:N17)+H17,"")</f>
        <v>0</v>
      </c>
      <c r="S17" s="9">
        <f>C17</f>
        <v>44562</v>
      </c>
      <c r="T17" s="5">
        <f>-(C8-O17)</f>
        <v>-300000</v>
      </c>
      <c r="V17" s="104"/>
      <c r="W17" s="103"/>
      <c r="X17" s="8"/>
    </row>
    <row r="18" spans="1:24">
      <c r="A18" s="1">
        <f>IF(B18&lt;&gt;"",1,"")</f>
        <v>1</v>
      </c>
      <c r="B18" s="16">
        <v>1</v>
      </c>
      <c r="C18" s="9">
        <f>'Input-AF (Avg Insurance) '!E25</f>
        <v>44586</v>
      </c>
      <c r="D18" s="6">
        <f>IFERROR(PPMT('Input-AF (Avg Insurance) '!$E$18/12,B18,$C$6,'Input-AF (Avg Insurance) '!$E$17,-$C$13,0)," ")</f>
        <v>-4388.8998620199272</v>
      </c>
      <c r="E18" s="6">
        <f>IFERROR(IPMT('Input-AF (Avg Insurance) '!$E$18/12,B18,$C$6,'Input-AF (Avg Insurance) '!$E$17,-$C$13,0)," ")</f>
        <v>-1300</v>
      </c>
      <c r="F18" s="6">
        <f>D18</f>
        <v>-4388.8998620199272</v>
      </c>
      <c r="G18" s="6">
        <f>E18</f>
        <v>-1300</v>
      </c>
      <c r="H18" s="6">
        <f>+IF(B18=$C$6+1,-$C$13,IFERROR(D18+E18,""))</f>
        <v>-5688.8998620199272</v>
      </c>
      <c r="I18" s="6">
        <f>+IFERROR($C$8+F18,"")</f>
        <v>295611.10013798007</v>
      </c>
      <c r="J18" s="6">
        <f>IF(B18&lt;&gt;"",IF(AND('Input-AF (Avg Insurance) '!$H$17="Annual",MOD(B18,12)=0),'Input-AF (Avg Insurance) '!$J$17,IF(AND('Input-AF (Avg Insurance) '!$H$17="1st Installment",B18=1),'Input-AF (Avg Insurance) '!$J$17,IF('Input-AF (Avg Insurance) '!$H$17="Monthly",'Input-AF (Avg Insurance) '!$J$17,""))),"")</f>
        <v>3000</v>
      </c>
      <c r="K18" s="6">
        <f>IF(B18&lt;&gt;"",IF(AND('Input-AF (Avg Insurance) '!$H$18="Annual",MOD(B18,12)=0),'Input-AF (Avg Insurance) '!$J$18,IF(AND('Input-AF (Avg Insurance) '!$H$18="1st Installment",B18=1),'Input-AF (Avg Insurance) '!$J$18,IF('Input-AF (Avg Insurance) '!$H$18="Monthly",'Input-AF (Avg Insurance) '!$J$18,""))),"")</f>
        <v>0</v>
      </c>
      <c r="L18" s="6">
        <f>IF(B18&lt;=$C$6,(IF(B18&lt;&gt;"",IF(AND('Input-AF (Avg Insurance) '!$H$19="Annual",MOD(B18,12)=0),'Input-AF (Avg Insurance) '!$J$19,IF(AND('Input-AF (Avg Insurance) '!$H$19="1st Installment",B18=1),'Input-AF (Avg Insurance) '!$J$19,IF('Input-AF (Avg Insurance) '!$H$19="Monthly",'Input-AF (Avg Insurance) '!$J$19,""))),""))," ")</f>
        <v>552</v>
      </c>
      <c r="M18" s="6">
        <f>IF(B18&lt;&gt;"",IF(AND('Input-AF (Avg Insurance) '!$H$20="Annual",MOD(B18,12)=0),'Input-AF (Avg Insurance) '!$J$20,IF(AND('Input-AF (Avg Insurance) '!$H$20="1st Installment",B18=1),'Input-AF (Avg Insurance) '!$J$20,IF('Input-AF (Avg Insurance) '!$H$20="Monthly",'Input-AF (Avg Insurance) '!$J$20,IF(AND('Input-AF (Avg Insurance) '!$H$20="End of the loan",B18='Input-AF (Avg Insurance) '!$E$22),'Input-AF (Avg Insurance) '!$J$20,"")))),"")</f>
        <v>0</v>
      </c>
      <c r="N18" s="6">
        <f>IF(B18&lt;=$C$6,SUM(J18:M18),"")</f>
        <v>3552</v>
      </c>
      <c r="O18" s="4">
        <f t="shared" ref="O18:O77" si="1">IF(B18&lt;&gt;"",(-H18+N18),"")</f>
        <v>9240.8998620199272</v>
      </c>
      <c r="S18" s="9">
        <f t="shared" ref="S18:S78" si="2">C18</f>
        <v>44586</v>
      </c>
      <c r="T18" s="5">
        <f>IFERROR(ROUND((_xlfn.IFNA(VLOOKUP(S18,$C$18:$O$82,13,0),0)),2)," ")</f>
        <v>9240.9</v>
      </c>
      <c r="V18" s="105"/>
      <c r="W18" s="96"/>
    </row>
    <row r="19" spans="1:24">
      <c r="A19" s="1">
        <f t="shared" ref="A19:A29" si="3">IF(B19&lt;&gt;"",1,"")</f>
        <v>1</v>
      </c>
      <c r="B19" s="16">
        <f>IF(B18="","",IF((B18+1)&lt;=$C$6+1,B18+1,""))</f>
        <v>2</v>
      </c>
      <c r="C19" s="9">
        <f t="shared" ref="C19:C52" si="4">IF(B19="","",EDATE(C18,1))</f>
        <v>44617</v>
      </c>
      <c r="D19" s="6">
        <f>IFERROR(PPMT('Input-AF (Avg Insurance) '!$E$18/12,B19,$C$6,'Input-AF (Avg Insurance) '!$E$17,-$C$13,0)," ")</f>
        <v>-4407.9184280886802</v>
      </c>
      <c r="E19" s="6">
        <f>IFERROR(IPMT('Input-AF (Avg Insurance) '!$E$18/12,B19,$C$6,'Input-AF (Avg Insurance) '!$E$17,-$C$13,0)," ")</f>
        <v>-1280.9814339312468</v>
      </c>
      <c r="F19" s="6">
        <f>IF(B19&lt;=$C$6,F18+D19,"")</f>
        <v>-8796.8182901086075</v>
      </c>
      <c r="G19" s="6">
        <f>IF(B19&lt;=$C$6,G18+E19,"")</f>
        <v>-2580.981433931247</v>
      </c>
      <c r="H19" s="6">
        <f t="shared" ref="H19:H82" si="5">+IF(B19=$C$6+1,-$C$13,IFERROR(D19+E19,""))</f>
        <v>-5688.8998620199272</v>
      </c>
      <c r="I19" s="6">
        <f t="shared" ref="I19:I77" si="6">+IFERROR($C$8+F19,"")</f>
        <v>291203.18170989142</v>
      </c>
      <c r="J19" s="6" t="str">
        <f>IF(B19&lt;&gt;"",IF(AND('Input-AF (Avg Insurance) '!$H$17="Annual",MOD(B19,12)=0),'Input-AF (Avg Insurance) '!$J$17,IF(AND('Input-AF (Avg Insurance) '!$H$17="1st Installment",B19=1),'Input-AF (Avg Insurance) '!$J$17,IF('Input-AF (Avg Insurance) '!$H$17="Monthly",'Input-AF (Avg Insurance) '!$J$17,""))),"")</f>
        <v/>
      </c>
      <c r="K19" s="6" t="str">
        <f>IF(B19&lt;&gt;"",IF(AND('Input-AF (Avg Insurance) '!$H$18="Annual",MOD(B19,12)=0),'Input-AF (Avg Insurance) '!$J$18,IF(AND('Input-AF (Avg Insurance) '!$H$18="1st Installment",B19=1),'Input-AF (Avg Insurance) '!$J$18,IF('Input-AF (Avg Insurance) '!$H$18="Monthly",'Input-AF (Avg Insurance) '!$J$18,""))),"")</f>
        <v/>
      </c>
      <c r="L19" s="6">
        <f>IF(B19&lt;=$C$6,(IF(B19&lt;&gt;"",IF(AND('Input-AF (Avg Insurance) '!$H$19="Annual",MOD(B19,12)=0),'Input-AF (Avg Insurance) '!$J$19,IF(AND('Input-AF (Avg Insurance) '!$H$19="1st Installment",B19=1),'Input-AF (Avg Insurance) '!$J$19,IF('Input-AF (Avg Insurance) '!$H$19="Monthly",'Input-AF (Avg Insurance) '!$J$19,""))),""))," ")</f>
        <v>552</v>
      </c>
      <c r="M19" s="6" t="str">
        <f>IF(B19&lt;&gt;"",IF(AND('Input-AF (Avg Insurance) '!$H$20="Annual",MOD(B19,12)=0),'Input-AF (Avg Insurance) '!$J$20,IF(AND('Input-AF (Avg Insurance) '!$H$20="1st Installment",B19=1),'Input-AF (Avg Insurance) '!$J$20,IF('Input-AF (Avg Insurance) '!$H$20="Monthly",'Input-AF (Avg Insurance) '!$J$20,IF(AND('Input-AF (Avg Insurance) '!$H$20="End of the loan",B19='Input-AF (Avg Insurance) '!$E$22),'Input-AF (Avg Insurance) '!$J$20,"")))),"")</f>
        <v/>
      </c>
      <c r="N19" s="6">
        <f t="shared" si="0"/>
        <v>552</v>
      </c>
      <c r="O19" s="4">
        <f t="shared" si="1"/>
        <v>6240.8998620199272</v>
      </c>
      <c r="S19" s="9">
        <f t="shared" si="2"/>
        <v>44617</v>
      </c>
      <c r="T19" s="5">
        <f t="shared" ref="T19:T78" si="7">IFERROR(ROUND((_xlfn.IFNA(VLOOKUP(S19,$C$18:$O$82,13,0),0)),2)," ")</f>
        <v>6240.9</v>
      </c>
      <c r="V19" s="105"/>
      <c r="W19" s="96"/>
    </row>
    <row r="20" spans="1:24">
      <c r="A20" s="1">
        <f t="shared" si="3"/>
        <v>1</v>
      </c>
      <c r="B20" s="16">
        <f t="shared" ref="B20:B82" si="8">IF(B19="","",IF((B19+1)&lt;=$C$6+1,B19+1,""))</f>
        <v>3</v>
      </c>
      <c r="C20" s="9">
        <f t="shared" si="4"/>
        <v>44645</v>
      </c>
      <c r="D20" s="6">
        <f>IFERROR(PPMT('Input-AF (Avg Insurance) '!$E$18/12,B20,$C$6,'Input-AF (Avg Insurance) '!$E$17,-$C$13,0)," ")</f>
        <v>-4427.0194079437315</v>
      </c>
      <c r="E20" s="6">
        <f>IFERROR(IPMT('Input-AF (Avg Insurance) '!$E$18/12,B20,$C$6,'Input-AF (Avg Insurance) '!$E$17,-$C$13,0)," ")</f>
        <v>-1261.880454076196</v>
      </c>
      <c r="F20" s="6">
        <f t="shared" ref="F20:F77" si="9">IF(B20&lt;=$C$6,F19+D20,"")</f>
        <v>-13223.837698052339</v>
      </c>
      <c r="G20" s="6">
        <f t="shared" ref="G20:G77" si="10">IF(B20&lt;=$C$6,G19+E20,"")</f>
        <v>-3842.8618880074428</v>
      </c>
      <c r="H20" s="6">
        <f t="shared" si="5"/>
        <v>-5688.8998620199272</v>
      </c>
      <c r="I20" s="6">
        <f t="shared" si="6"/>
        <v>286776.16230194765</v>
      </c>
      <c r="J20" s="6" t="str">
        <f>IF(B20&lt;&gt;"",IF(AND('Input-AF (Avg Insurance) '!$H$17="Annual",MOD(B20,12)=0),'Input-AF (Avg Insurance) '!$J$17,IF(AND('Input-AF (Avg Insurance) '!$H$17="1st Installment",B20=1),'Input-AF (Avg Insurance) '!$J$17,IF('Input-AF (Avg Insurance) '!$H$17="Monthly",'Input-AF (Avg Insurance) '!$J$17,""))),"")</f>
        <v/>
      </c>
      <c r="K20" s="6" t="str">
        <f>IF(B20&lt;&gt;"",IF(AND('Input-AF (Avg Insurance) '!$H$18="Annual",MOD(B20,12)=0),'Input-AF (Avg Insurance) '!$J$18,IF(AND('Input-AF (Avg Insurance) '!$H$18="1st Installment",B20=1),'Input-AF (Avg Insurance) '!$J$18,IF('Input-AF (Avg Insurance) '!$H$18="Monthly",'Input-AF (Avg Insurance) '!$J$18,""))),"")</f>
        <v/>
      </c>
      <c r="L20" s="6">
        <f>IF(B20&lt;=$C$6,(IF(B20&lt;&gt;"",IF(AND('Input-AF (Avg Insurance) '!$H$19="Annual",MOD(B20,12)=0),'Input-AF (Avg Insurance) '!$J$19,IF(AND('Input-AF (Avg Insurance) '!$H$19="1st Installment",B20=1),'Input-AF (Avg Insurance) '!$J$19,IF('Input-AF (Avg Insurance) '!$H$19="Monthly",'Input-AF (Avg Insurance) '!$J$19,""))),""))," ")</f>
        <v>552</v>
      </c>
      <c r="M20" s="6" t="str">
        <f>IF(B20&lt;&gt;"",IF(AND('Input-AF (Avg Insurance) '!$H$20="Annual",MOD(B20,12)=0),'Input-AF (Avg Insurance) '!$J$20,IF(AND('Input-AF (Avg Insurance) '!$H$20="1st Installment",B20=1),'Input-AF (Avg Insurance) '!$J$20,IF('Input-AF (Avg Insurance) '!$H$20="Monthly",'Input-AF (Avg Insurance) '!$J$20,IF(AND('Input-AF (Avg Insurance) '!$H$20="End of the loan",B20='Input-AF (Avg Insurance) '!$E$22),'Input-AF (Avg Insurance) '!$J$20,"")))),"")</f>
        <v/>
      </c>
      <c r="N20" s="6">
        <f t="shared" si="0"/>
        <v>552</v>
      </c>
      <c r="O20" s="4">
        <f t="shared" si="1"/>
        <v>6240.8998620199272</v>
      </c>
      <c r="S20" s="9">
        <f t="shared" si="2"/>
        <v>44645</v>
      </c>
      <c r="T20" s="5">
        <f t="shared" si="7"/>
        <v>6240.9</v>
      </c>
      <c r="V20" s="105"/>
      <c r="W20" s="96"/>
    </row>
    <row r="21" spans="1:24">
      <c r="A21" s="1">
        <f t="shared" si="3"/>
        <v>1</v>
      </c>
      <c r="B21" s="16">
        <f t="shared" si="8"/>
        <v>4</v>
      </c>
      <c r="C21" s="9">
        <f t="shared" si="4"/>
        <v>44676</v>
      </c>
      <c r="D21" s="6">
        <f>IFERROR(PPMT('Input-AF (Avg Insurance) '!$E$18/12,B21,$C$6,'Input-AF (Avg Insurance) '!$E$17,-$C$13,0)," ")</f>
        <v>-4446.203158711487</v>
      </c>
      <c r="E21" s="6">
        <f>IFERROR(IPMT('Input-AF (Avg Insurance) '!$E$18/12,B21,$C$6,'Input-AF (Avg Insurance) '!$E$17,-$C$13,0)," ")</f>
        <v>-1242.6967033084397</v>
      </c>
      <c r="F21" s="6">
        <f t="shared" si="9"/>
        <v>-17670.040856763826</v>
      </c>
      <c r="G21" s="6">
        <f t="shared" si="10"/>
        <v>-5085.5585913158829</v>
      </c>
      <c r="H21" s="6">
        <f t="shared" si="5"/>
        <v>-5688.8998620199272</v>
      </c>
      <c r="I21" s="6">
        <f t="shared" si="6"/>
        <v>282329.95914323616</v>
      </c>
      <c r="J21" s="6" t="str">
        <f>IF(B21&lt;&gt;"",IF(AND('Input-AF (Avg Insurance) '!$H$17="Annual",MOD(B21,12)=0),'Input-AF (Avg Insurance) '!$J$17,IF(AND('Input-AF (Avg Insurance) '!$H$17="1st Installment",B21=1),'Input-AF (Avg Insurance) '!$J$17,IF('Input-AF (Avg Insurance) '!$H$17="Monthly",'Input-AF (Avg Insurance) '!$J$17,""))),"")</f>
        <v/>
      </c>
      <c r="K21" s="6" t="str">
        <f>IF(B21&lt;&gt;"",IF(AND('Input-AF (Avg Insurance) '!$H$18="Annual",MOD(B21,12)=0),'Input-AF (Avg Insurance) '!$J$18,IF(AND('Input-AF (Avg Insurance) '!$H$18="1st Installment",B21=1),'Input-AF (Avg Insurance) '!$J$18,IF('Input-AF (Avg Insurance) '!$H$18="Monthly",'Input-AF (Avg Insurance) '!$J$18,""))),"")</f>
        <v/>
      </c>
      <c r="L21" s="6">
        <f>IF(B21&lt;=$C$6,(IF(B21&lt;&gt;"",IF(AND('Input-AF (Avg Insurance) '!$H$19="Annual",MOD(B21,12)=0),'Input-AF (Avg Insurance) '!$J$19,IF(AND('Input-AF (Avg Insurance) '!$H$19="1st Installment",B21=1),'Input-AF (Avg Insurance) '!$J$19,IF('Input-AF (Avg Insurance) '!$H$19="Monthly",'Input-AF (Avg Insurance) '!$J$19,""))),""))," ")</f>
        <v>552</v>
      </c>
      <c r="M21" s="6" t="str">
        <f>IF(B21&lt;&gt;"",IF(AND('Input-AF (Avg Insurance) '!$H$20="Annual",MOD(B21,12)=0),'Input-AF (Avg Insurance) '!$J$20,IF(AND('Input-AF (Avg Insurance) '!$H$20="1st Installment",B21=1),'Input-AF (Avg Insurance) '!$J$20,IF('Input-AF (Avg Insurance) '!$H$20="Monthly",'Input-AF (Avg Insurance) '!$J$20,IF(AND('Input-AF (Avg Insurance) '!$H$20="End of the loan",B21='Input-AF (Avg Insurance) '!$E$22),'Input-AF (Avg Insurance) '!$J$20,"")))),"")</f>
        <v/>
      </c>
      <c r="N21" s="6">
        <f t="shared" si="0"/>
        <v>552</v>
      </c>
      <c r="O21" s="4">
        <f t="shared" si="1"/>
        <v>6240.8998620199272</v>
      </c>
      <c r="S21" s="9">
        <f t="shared" si="2"/>
        <v>44676</v>
      </c>
      <c r="T21" s="5">
        <f t="shared" si="7"/>
        <v>6240.9</v>
      </c>
      <c r="V21" s="105"/>
      <c r="W21" s="96"/>
    </row>
    <row r="22" spans="1:24">
      <c r="A22" s="1">
        <f t="shared" si="3"/>
        <v>1</v>
      </c>
      <c r="B22" s="16">
        <f t="shared" si="8"/>
        <v>5</v>
      </c>
      <c r="C22" s="9">
        <f t="shared" si="4"/>
        <v>44706</v>
      </c>
      <c r="D22" s="6">
        <f>IFERROR(PPMT('Input-AF (Avg Insurance) '!$E$18/12,B22,$C$6,'Input-AF (Avg Insurance) '!$E$17,-$C$13,0)," ")</f>
        <v>-4465.4700390659036</v>
      </c>
      <c r="E22" s="6">
        <f>IFERROR(IPMT('Input-AF (Avg Insurance) '!$E$18/12,B22,$C$6,'Input-AF (Avg Insurance) '!$E$17,-$C$13,0)," ")</f>
        <v>-1223.4298229540234</v>
      </c>
      <c r="F22" s="6">
        <f t="shared" si="9"/>
        <v>-22135.510895829728</v>
      </c>
      <c r="G22" s="6">
        <f t="shared" si="10"/>
        <v>-6308.9884142699066</v>
      </c>
      <c r="H22" s="6">
        <f t="shared" si="5"/>
        <v>-5688.8998620199272</v>
      </c>
      <c r="I22" s="6">
        <f t="shared" si="6"/>
        <v>277864.48910417029</v>
      </c>
      <c r="J22" s="6" t="str">
        <f>IF(B22&lt;&gt;"",IF(AND('Input-AF (Avg Insurance) '!$H$17="Annual",MOD(B22,12)=0),'Input-AF (Avg Insurance) '!$J$17,IF(AND('Input-AF (Avg Insurance) '!$H$17="1st Installment",B22=1),'Input-AF (Avg Insurance) '!$J$17,IF('Input-AF (Avg Insurance) '!$H$17="Monthly",'Input-AF (Avg Insurance) '!$J$17,""))),"")</f>
        <v/>
      </c>
      <c r="K22" s="6" t="str">
        <f>IF(B22&lt;&gt;"",IF(AND('Input-AF (Avg Insurance) '!$H$18="Annual",MOD(B22,12)=0),'Input-AF (Avg Insurance) '!$J$18,IF(AND('Input-AF (Avg Insurance) '!$H$18="1st Installment",B22=1),'Input-AF (Avg Insurance) '!$J$18,IF('Input-AF (Avg Insurance) '!$H$18="Monthly",'Input-AF (Avg Insurance) '!$J$18,""))),"")</f>
        <v/>
      </c>
      <c r="L22" s="6">
        <f>IF(B22&lt;=$C$6,(IF(B22&lt;&gt;"",IF(AND('Input-AF (Avg Insurance) '!$H$19="Annual",MOD(B22,12)=0),'Input-AF (Avg Insurance) '!$J$19,IF(AND('Input-AF (Avg Insurance) '!$H$19="1st Installment",B22=1),'Input-AF (Avg Insurance) '!$J$19,IF('Input-AF (Avg Insurance) '!$H$19="Monthly",'Input-AF (Avg Insurance) '!$J$19,""))),""))," ")</f>
        <v>552</v>
      </c>
      <c r="M22" s="6" t="str">
        <f>IF(B22&lt;&gt;"",IF(AND('Input-AF (Avg Insurance) '!$H$20="Annual",MOD(B22,12)=0),'Input-AF (Avg Insurance) '!$J$20,IF(AND('Input-AF (Avg Insurance) '!$H$20="1st Installment",B22=1),'Input-AF (Avg Insurance) '!$J$20,IF('Input-AF (Avg Insurance) '!$H$20="Monthly",'Input-AF (Avg Insurance) '!$J$20,IF(AND('Input-AF (Avg Insurance) '!$H$20="End of the loan",B22='Input-AF (Avg Insurance) '!$E$22),'Input-AF (Avg Insurance) '!$J$20,"")))),"")</f>
        <v/>
      </c>
      <c r="N22" s="6">
        <f t="shared" si="0"/>
        <v>552</v>
      </c>
      <c r="O22" s="4">
        <f t="shared" si="1"/>
        <v>6240.8998620199272</v>
      </c>
      <c r="S22" s="9">
        <f t="shared" si="2"/>
        <v>44706</v>
      </c>
      <c r="T22" s="5">
        <f t="shared" si="7"/>
        <v>6240.9</v>
      </c>
      <c r="V22" s="105"/>
      <c r="W22" s="96"/>
    </row>
    <row r="23" spans="1:24">
      <c r="A23" s="1">
        <f t="shared" si="3"/>
        <v>1</v>
      </c>
      <c r="B23" s="16">
        <f t="shared" si="8"/>
        <v>6</v>
      </c>
      <c r="C23" s="9">
        <f t="shared" si="4"/>
        <v>44737</v>
      </c>
      <c r="D23" s="6">
        <f>IFERROR(PPMT('Input-AF (Avg Insurance) '!$E$18/12,B23,$C$6,'Input-AF (Avg Insurance) '!$E$17,-$C$13,0)," ")</f>
        <v>-4484.8204092351889</v>
      </c>
      <c r="E23" s="6">
        <f>IFERROR(IPMT('Input-AF (Avg Insurance) '!$E$18/12,B23,$C$6,'Input-AF (Avg Insurance) '!$E$17,-$C$13,0)," ")</f>
        <v>-1204.0794527847377</v>
      </c>
      <c r="F23" s="6">
        <f t="shared" si="9"/>
        <v>-26620.331305064916</v>
      </c>
      <c r="G23" s="6">
        <f t="shared" si="10"/>
        <v>-7513.067867054644</v>
      </c>
      <c r="H23" s="6">
        <f t="shared" si="5"/>
        <v>-5688.8998620199263</v>
      </c>
      <c r="I23" s="6">
        <f t="shared" si="6"/>
        <v>273379.6686949351</v>
      </c>
      <c r="J23" s="6" t="str">
        <f>IF(B23&lt;&gt;"",IF(AND('Input-AF (Avg Insurance) '!$H$17="Annual",MOD(B23,12)=0),'Input-AF (Avg Insurance) '!$J$17,IF(AND('Input-AF (Avg Insurance) '!$H$17="1st Installment",B23=1),'Input-AF (Avg Insurance) '!$J$17,IF('Input-AF (Avg Insurance) '!$H$17="Monthly",'Input-AF (Avg Insurance) '!$J$17,""))),"")</f>
        <v/>
      </c>
      <c r="K23" s="6" t="str">
        <f>IF(B23&lt;&gt;"",IF(AND('Input-AF (Avg Insurance) '!$H$18="Annual",MOD(B23,12)=0),'Input-AF (Avg Insurance) '!$J$18,IF(AND('Input-AF (Avg Insurance) '!$H$18="1st Installment",B23=1),'Input-AF (Avg Insurance) '!$J$18,IF('Input-AF (Avg Insurance) '!$H$18="Monthly",'Input-AF (Avg Insurance) '!$J$18,""))),"")</f>
        <v/>
      </c>
      <c r="L23" s="6">
        <f>IF(B23&lt;=$C$6,(IF(B23&lt;&gt;"",IF(AND('Input-AF (Avg Insurance) '!$H$19="Annual",MOD(B23,12)=0),'Input-AF (Avg Insurance) '!$J$19,IF(AND('Input-AF (Avg Insurance) '!$H$19="1st Installment",B23=1),'Input-AF (Avg Insurance) '!$J$19,IF('Input-AF (Avg Insurance) '!$H$19="Monthly",'Input-AF (Avg Insurance) '!$J$19,""))),""))," ")</f>
        <v>552</v>
      </c>
      <c r="M23" s="6" t="str">
        <f>IF(B23&lt;&gt;"",IF(AND('Input-AF (Avg Insurance) '!$H$20="Annual",MOD(B23,12)=0),'Input-AF (Avg Insurance) '!$J$20,IF(AND('Input-AF (Avg Insurance) '!$H$20="1st Installment",B23=1),'Input-AF (Avg Insurance) '!$J$20,IF('Input-AF (Avg Insurance) '!$H$20="Monthly",'Input-AF (Avg Insurance) '!$J$20,IF(AND('Input-AF (Avg Insurance) '!$H$20="End of the loan",B23='Input-AF (Avg Insurance) '!$E$22),'Input-AF (Avg Insurance) '!$J$20,"")))),"")</f>
        <v/>
      </c>
      <c r="N23" s="6">
        <f t="shared" si="0"/>
        <v>552</v>
      </c>
      <c r="O23" s="4">
        <f t="shared" si="1"/>
        <v>6240.8998620199263</v>
      </c>
      <c r="S23" s="9">
        <f t="shared" si="2"/>
        <v>44737</v>
      </c>
      <c r="T23" s="5">
        <f t="shared" si="7"/>
        <v>6240.9</v>
      </c>
      <c r="V23" s="105"/>
      <c r="W23" s="96"/>
    </row>
    <row r="24" spans="1:24">
      <c r="A24" s="1">
        <f t="shared" si="3"/>
        <v>1</v>
      </c>
      <c r="B24" s="16">
        <f t="shared" si="8"/>
        <v>7</v>
      </c>
      <c r="C24" s="9">
        <f t="shared" si="4"/>
        <v>44767</v>
      </c>
      <c r="D24" s="6">
        <f>IFERROR(PPMT('Input-AF (Avg Insurance) '!$E$18/12,B24,$C$6,'Input-AF (Avg Insurance) '!$E$17,-$C$13,0)," ")</f>
        <v>-4504.2546310085418</v>
      </c>
      <c r="E24" s="6">
        <f>IFERROR(IPMT('Input-AF (Avg Insurance) '!$E$18/12,B24,$C$6,'Input-AF (Avg Insurance) '!$E$17,-$C$13,0)," ")</f>
        <v>-1184.6452310113855</v>
      </c>
      <c r="F24" s="6">
        <f t="shared" si="9"/>
        <v>-31124.585936073458</v>
      </c>
      <c r="G24" s="6">
        <f t="shared" si="10"/>
        <v>-8697.7130980660295</v>
      </c>
      <c r="H24" s="6">
        <f t="shared" si="5"/>
        <v>-5688.8998620199272</v>
      </c>
      <c r="I24" s="6">
        <f t="shared" si="6"/>
        <v>268875.41406392655</v>
      </c>
      <c r="J24" s="6" t="str">
        <f>IF(B24&lt;&gt;"",IF(AND('Input-AF (Avg Insurance) '!$H$17="Annual",MOD(B24,12)=0),'Input-AF (Avg Insurance) '!$J$17,IF(AND('Input-AF (Avg Insurance) '!$H$17="1st Installment",B24=1),'Input-AF (Avg Insurance) '!$J$17,IF('Input-AF (Avg Insurance) '!$H$17="Monthly",'Input-AF (Avg Insurance) '!$J$17,""))),"")</f>
        <v/>
      </c>
      <c r="K24" s="6" t="str">
        <f>IF(B24&lt;&gt;"",IF(AND('Input-AF (Avg Insurance) '!$H$18="Annual",MOD(B24,12)=0),'Input-AF (Avg Insurance) '!$J$18,IF(AND('Input-AF (Avg Insurance) '!$H$18="1st Installment",B24=1),'Input-AF (Avg Insurance) '!$J$18,IF('Input-AF (Avg Insurance) '!$H$18="Monthly",'Input-AF (Avg Insurance) '!$J$18,""))),"")</f>
        <v/>
      </c>
      <c r="L24" s="6">
        <f>IF(B24&lt;=$C$6,(IF(B24&lt;&gt;"",IF(AND('Input-AF (Avg Insurance) '!$H$19="Annual",MOD(B24,12)=0),'Input-AF (Avg Insurance) '!$J$19,IF(AND('Input-AF (Avg Insurance) '!$H$19="1st Installment",B24=1),'Input-AF (Avg Insurance) '!$J$19,IF('Input-AF (Avg Insurance) '!$H$19="Monthly",'Input-AF (Avg Insurance) '!$J$19,""))),""))," ")</f>
        <v>552</v>
      </c>
      <c r="M24" s="6" t="str">
        <f>IF(B24&lt;&gt;"",IF(AND('Input-AF (Avg Insurance) '!$H$20="Annual",MOD(B24,12)=0),'Input-AF (Avg Insurance) '!$J$20,IF(AND('Input-AF (Avg Insurance) '!$H$20="1st Installment",B24=1),'Input-AF (Avg Insurance) '!$J$20,IF('Input-AF (Avg Insurance) '!$H$20="Monthly",'Input-AF (Avg Insurance) '!$J$20,IF(AND('Input-AF (Avg Insurance) '!$H$20="End of the loan",B24='Input-AF (Avg Insurance) '!$E$22),'Input-AF (Avg Insurance) '!$J$20,"")))),"")</f>
        <v/>
      </c>
      <c r="N24" s="6">
        <f t="shared" si="0"/>
        <v>552</v>
      </c>
      <c r="O24" s="4">
        <f t="shared" si="1"/>
        <v>6240.8998620199272</v>
      </c>
      <c r="S24" s="9">
        <f t="shared" si="2"/>
        <v>44767</v>
      </c>
      <c r="T24" s="5">
        <f t="shared" si="7"/>
        <v>6240.9</v>
      </c>
      <c r="V24" s="105"/>
      <c r="W24" s="96"/>
    </row>
    <row r="25" spans="1:24">
      <c r="A25" s="1">
        <f t="shared" si="3"/>
        <v>1</v>
      </c>
      <c r="B25" s="16">
        <f t="shared" si="8"/>
        <v>8</v>
      </c>
      <c r="C25" s="9">
        <f t="shared" si="4"/>
        <v>44798</v>
      </c>
      <c r="D25" s="6">
        <f>IFERROR(PPMT('Input-AF (Avg Insurance) '!$E$18/12,B25,$C$6,'Input-AF (Avg Insurance) '!$E$17,-$C$13,0)," ")</f>
        <v>-4523.7730677429117</v>
      </c>
      <c r="E25" s="6">
        <f>IFERROR(IPMT('Input-AF (Avg Insurance) '!$E$18/12,B25,$C$6,'Input-AF (Avg Insurance) '!$E$17,-$C$13,0)," ")</f>
        <v>-1165.1267942770151</v>
      </c>
      <c r="F25" s="6">
        <f t="shared" si="9"/>
        <v>-35648.359003816367</v>
      </c>
      <c r="G25" s="6">
        <f t="shared" si="10"/>
        <v>-9862.839892343045</v>
      </c>
      <c r="H25" s="6">
        <f t="shared" si="5"/>
        <v>-5688.8998620199272</v>
      </c>
      <c r="I25" s="6">
        <f t="shared" si="6"/>
        <v>264351.64099618362</v>
      </c>
      <c r="J25" s="6" t="str">
        <f>IF(B25&lt;&gt;"",IF(AND('Input-AF (Avg Insurance) '!$H$17="Annual",MOD(B25,12)=0),'Input-AF (Avg Insurance) '!$J$17,IF(AND('Input-AF (Avg Insurance) '!$H$17="1st Installment",B25=1),'Input-AF (Avg Insurance) '!$J$17,IF('Input-AF (Avg Insurance) '!$H$17="Monthly",'Input-AF (Avg Insurance) '!$J$17,""))),"")</f>
        <v/>
      </c>
      <c r="K25" s="6" t="str">
        <f>IF(B25&lt;&gt;"",IF(AND('Input-AF (Avg Insurance) '!$H$18="Annual",MOD(B25,12)=0),'Input-AF (Avg Insurance) '!$J$18,IF(AND('Input-AF (Avg Insurance) '!$H$18="1st Installment",B25=1),'Input-AF (Avg Insurance) '!$J$18,IF('Input-AF (Avg Insurance) '!$H$18="Monthly",'Input-AF (Avg Insurance) '!$J$18,""))),"")</f>
        <v/>
      </c>
      <c r="L25" s="6">
        <f>IF(B25&lt;=$C$6,(IF(B25&lt;&gt;"",IF(AND('Input-AF (Avg Insurance) '!$H$19="Annual",MOD(B25,12)=0),'Input-AF (Avg Insurance) '!$J$19,IF(AND('Input-AF (Avg Insurance) '!$H$19="1st Installment",B25=1),'Input-AF (Avg Insurance) '!$J$19,IF('Input-AF (Avg Insurance) '!$H$19="Monthly",'Input-AF (Avg Insurance) '!$J$19,""))),""))," ")</f>
        <v>552</v>
      </c>
      <c r="M25" s="6" t="str">
        <f>IF(B25&lt;&gt;"",IF(AND('Input-AF (Avg Insurance) '!$H$20="Annual",MOD(B25,12)=0),'Input-AF (Avg Insurance) '!$J$20,IF(AND('Input-AF (Avg Insurance) '!$H$20="1st Installment",B25=1),'Input-AF (Avg Insurance) '!$J$20,IF('Input-AF (Avg Insurance) '!$H$20="Monthly",'Input-AF (Avg Insurance) '!$J$20,IF(AND('Input-AF (Avg Insurance) '!$H$20="End of the loan",B25='Input-AF (Avg Insurance) '!$E$22),'Input-AF (Avg Insurance) '!$J$20,"")))),"")</f>
        <v/>
      </c>
      <c r="N25" s="6">
        <f t="shared" si="0"/>
        <v>552</v>
      </c>
      <c r="O25" s="4">
        <f t="shared" si="1"/>
        <v>6240.8998620199272</v>
      </c>
      <c r="S25" s="9">
        <f t="shared" si="2"/>
        <v>44798</v>
      </c>
      <c r="T25" s="5">
        <f t="shared" si="7"/>
        <v>6240.9</v>
      </c>
      <c r="V25" s="105"/>
      <c r="W25" s="96"/>
    </row>
    <row r="26" spans="1:24">
      <c r="A26" s="1">
        <f t="shared" si="3"/>
        <v>1</v>
      </c>
      <c r="B26" s="16">
        <f t="shared" si="8"/>
        <v>9</v>
      </c>
      <c r="C26" s="9">
        <f t="shared" si="4"/>
        <v>44829</v>
      </c>
      <c r="D26" s="6">
        <f>IFERROR(PPMT('Input-AF (Avg Insurance) '!$E$18/12,B26,$C$6,'Input-AF (Avg Insurance) '!$E$17,-$C$13,0)," ")</f>
        <v>-4543.3760843697974</v>
      </c>
      <c r="E26" s="6">
        <f>IFERROR(IPMT('Input-AF (Avg Insurance) '!$E$18/12,B26,$C$6,'Input-AF (Avg Insurance) '!$E$17,-$C$13,0)," ")</f>
        <v>-1145.523777650129</v>
      </c>
      <c r="F26" s="6">
        <f t="shared" si="9"/>
        <v>-40191.735088186164</v>
      </c>
      <c r="G26" s="6">
        <f t="shared" si="10"/>
        <v>-11008.363669993174</v>
      </c>
      <c r="H26" s="6">
        <f t="shared" si="5"/>
        <v>-5688.8998620199263</v>
      </c>
      <c r="I26" s="6">
        <f t="shared" si="6"/>
        <v>259808.26491181384</v>
      </c>
      <c r="J26" s="6" t="str">
        <f>IF(B26&lt;&gt;"",IF(AND('Input-AF (Avg Insurance) '!$H$17="Annual",MOD(B26,12)=0),'Input-AF (Avg Insurance) '!$J$17,IF(AND('Input-AF (Avg Insurance) '!$H$17="1st Installment",B26=1),'Input-AF (Avg Insurance) '!$J$17,IF('Input-AF (Avg Insurance) '!$H$17="Monthly",'Input-AF (Avg Insurance) '!$J$17,""))),"")</f>
        <v/>
      </c>
      <c r="K26" s="6" t="str">
        <f>IF(B26&lt;&gt;"",IF(AND('Input-AF (Avg Insurance) '!$H$18="Annual",MOD(B26,12)=0),'Input-AF (Avg Insurance) '!$J$18,IF(AND('Input-AF (Avg Insurance) '!$H$18="1st Installment",B26=1),'Input-AF (Avg Insurance) '!$J$18,IF('Input-AF (Avg Insurance) '!$H$18="Monthly",'Input-AF (Avg Insurance) '!$J$18,""))),"")</f>
        <v/>
      </c>
      <c r="L26" s="6">
        <f>IF(B26&lt;=$C$6,(IF(B26&lt;&gt;"",IF(AND('Input-AF (Avg Insurance) '!$H$19="Annual",MOD(B26,12)=0),'Input-AF (Avg Insurance) '!$J$19,IF(AND('Input-AF (Avg Insurance) '!$H$19="1st Installment",B26=1),'Input-AF (Avg Insurance) '!$J$19,IF('Input-AF (Avg Insurance) '!$H$19="Monthly",'Input-AF (Avg Insurance) '!$J$19,""))),""))," ")</f>
        <v>552</v>
      </c>
      <c r="M26" s="6" t="str">
        <f>IF(B26&lt;&gt;"",IF(AND('Input-AF (Avg Insurance) '!$H$20="Annual",MOD(B26,12)=0),'Input-AF (Avg Insurance) '!$J$20,IF(AND('Input-AF (Avg Insurance) '!$H$20="1st Installment",B26=1),'Input-AF (Avg Insurance) '!$J$20,IF('Input-AF (Avg Insurance) '!$H$20="Monthly",'Input-AF (Avg Insurance) '!$J$20,IF(AND('Input-AF (Avg Insurance) '!$H$20="End of the loan",B26='Input-AF (Avg Insurance) '!$E$22),'Input-AF (Avg Insurance) '!$J$20,"")))),"")</f>
        <v/>
      </c>
      <c r="N26" s="6">
        <f t="shared" si="0"/>
        <v>552</v>
      </c>
      <c r="O26" s="4">
        <f t="shared" si="1"/>
        <v>6240.8998620199263</v>
      </c>
      <c r="S26" s="9">
        <f t="shared" si="2"/>
        <v>44829</v>
      </c>
      <c r="T26" s="5">
        <f t="shared" si="7"/>
        <v>6240.9</v>
      </c>
      <c r="V26" s="105"/>
      <c r="W26" s="96"/>
    </row>
    <row r="27" spans="1:24">
      <c r="A27" s="1">
        <f t="shared" si="3"/>
        <v>1</v>
      </c>
      <c r="B27" s="16">
        <f t="shared" si="8"/>
        <v>10</v>
      </c>
      <c r="C27" s="9">
        <f t="shared" si="4"/>
        <v>44859</v>
      </c>
      <c r="D27" s="6">
        <f>IFERROR(PPMT('Input-AF (Avg Insurance) '!$E$18/12,B27,$C$6,'Input-AF (Avg Insurance) '!$E$17,-$C$13,0)," ")</f>
        <v>-4563.0640474020674</v>
      </c>
      <c r="E27" s="6">
        <f>IFERROR(IPMT('Input-AF (Avg Insurance) '!$E$18/12,B27,$C$6,'Input-AF (Avg Insurance) '!$E$17,-$C$13,0)," ")</f>
        <v>-1125.8358146178598</v>
      </c>
      <c r="F27" s="6">
        <f t="shared" si="9"/>
        <v>-44754.799135588233</v>
      </c>
      <c r="G27" s="6">
        <f t="shared" si="10"/>
        <v>-12134.199484611034</v>
      </c>
      <c r="H27" s="6">
        <f t="shared" si="5"/>
        <v>-5688.8998620199272</v>
      </c>
      <c r="I27" s="6">
        <f t="shared" si="6"/>
        <v>255245.20086441177</v>
      </c>
      <c r="J27" s="6" t="str">
        <f>IF(B27&lt;&gt;"",IF(AND('Input-AF (Avg Insurance) '!$H$17="Annual",MOD(B27,12)=0),'Input-AF (Avg Insurance) '!$J$17,IF(AND('Input-AF (Avg Insurance) '!$H$17="1st Installment",B27=1),'Input-AF (Avg Insurance) '!$J$17,IF('Input-AF (Avg Insurance) '!$H$17="Monthly",'Input-AF (Avg Insurance) '!$J$17,""))),"")</f>
        <v/>
      </c>
      <c r="K27" s="6" t="str">
        <f>IF(B27&lt;&gt;"",IF(AND('Input-AF (Avg Insurance) '!$H$18="Annual",MOD(B27,12)=0),'Input-AF (Avg Insurance) '!$J$18,IF(AND('Input-AF (Avg Insurance) '!$H$18="1st Installment",B27=1),'Input-AF (Avg Insurance) '!$J$18,IF('Input-AF (Avg Insurance) '!$H$18="Monthly",'Input-AF (Avg Insurance) '!$J$18,""))),"")</f>
        <v/>
      </c>
      <c r="L27" s="6">
        <f>IF(B27&lt;=$C$6,(IF(B27&lt;&gt;"",IF(AND('Input-AF (Avg Insurance) '!$H$19="Annual",MOD(B27,12)=0),'Input-AF (Avg Insurance) '!$J$19,IF(AND('Input-AF (Avg Insurance) '!$H$19="1st Installment",B27=1),'Input-AF (Avg Insurance) '!$J$19,IF('Input-AF (Avg Insurance) '!$H$19="Monthly",'Input-AF (Avg Insurance) '!$J$19,""))),""))," ")</f>
        <v>552</v>
      </c>
      <c r="M27" s="6" t="str">
        <f>IF(B27&lt;&gt;"",IF(AND('Input-AF (Avg Insurance) '!$H$20="Annual",MOD(B27,12)=0),'Input-AF (Avg Insurance) '!$J$20,IF(AND('Input-AF (Avg Insurance) '!$H$20="1st Installment",B27=1),'Input-AF (Avg Insurance) '!$J$20,IF('Input-AF (Avg Insurance) '!$H$20="Monthly",'Input-AF (Avg Insurance) '!$J$20,IF(AND('Input-AF (Avg Insurance) '!$H$20="End of the loan",B27='Input-AF (Avg Insurance) '!$E$22),'Input-AF (Avg Insurance) '!$J$20,"")))),"")</f>
        <v/>
      </c>
      <c r="N27" s="6">
        <f t="shared" si="0"/>
        <v>552</v>
      </c>
      <c r="O27" s="4">
        <f t="shared" si="1"/>
        <v>6240.8998620199272</v>
      </c>
      <c r="S27" s="9">
        <f t="shared" si="2"/>
        <v>44859</v>
      </c>
      <c r="T27" s="5">
        <f t="shared" si="7"/>
        <v>6240.9</v>
      </c>
      <c r="V27" s="105"/>
      <c r="W27" s="96"/>
    </row>
    <row r="28" spans="1:24">
      <c r="A28" s="1">
        <f t="shared" si="3"/>
        <v>1</v>
      </c>
      <c r="B28" s="16">
        <f t="shared" si="8"/>
        <v>11</v>
      </c>
      <c r="C28" s="9">
        <f t="shared" si="4"/>
        <v>44890</v>
      </c>
      <c r="D28" s="6">
        <f>IFERROR(PPMT('Input-AF (Avg Insurance) '!$E$18/12,B28,$C$6,'Input-AF (Avg Insurance) '!$E$17,-$C$13,0)," ")</f>
        <v>-4582.8373249408096</v>
      </c>
      <c r="E28" s="6">
        <f>IFERROR(IPMT('Input-AF (Avg Insurance) '!$E$18/12,B28,$C$6,'Input-AF (Avg Insurance) '!$E$17,-$C$13,0)," ")</f>
        <v>-1106.0625370791174</v>
      </c>
      <c r="F28" s="6">
        <f t="shared" si="9"/>
        <v>-49337.636460529044</v>
      </c>
      <c r="G28" s="6">
        <f t="shared" si="10"/>
        <v>-13240.262021690151</v>
      </c>
      <c r="H28" s="6">
        <f t="shared" si="5"/>
        <v>-5688.8998620199272</v>
      </c>
      <c r="I28" s="6">
        <f t="shared" si="6"/>
        <v>250662.36353947094</v>
      </c>
      <c r="J28" s="6" t="str">
        <f>IF(B28&lt;&gt;"",IF(AND('Input-AF (Avg Insurance) '!$H$17="Annual",MOD(B28,12)=0),'Input-AF (Avg Insurance) '!$J$17,IF(AND('Input-AF (Avg Insurance) '!$H$17="1st Installment",B28=1),'Input-AF (Avg Insurance) '!$J$17,IF('Input-AF (Avg Insurance) '!$H$17="Monthly",'Input-AF (Avg Insurance) '!$J$17,""))),"")</f>
        <v/>
      </c>
      <c r="K28" s="6" t="str">
        <f>IF(B28&lt;&gt;"",IF(AND('Input-AF (Avg Insurance) '!$H$18="Annual",MOD(B28,12)=0),'Input-AF (Avg Insurance) '!$J$18,IF(AND('Input-AF (Avg Insurance) '!$H$18="1st Installment",B28=1),'Input-AF (Avg Insurance) '!$J$18,IF('Input-AF (Avg Insurance) '!$H$18="Monthly",'Input-AF (Avg Insurance) '!$J$18,""))),"")</f>
        <v/>
      </c>
      <c r="L28" s="6">
        <f>IF(B28&lt;=$C$6,(IF(B28&lt;&gt;"",IF(AND('Input-AF (Avg Insurance) '!$H$19="Annual",MOD(B28,12)=0),'Input-AF (Avg Insurance) '!$J$19,IF(AND('Input-AF (Avg Insurance) '!$H$19="1st Installment",B28=1),'Input-AF (Avg Insurance) '!$J$19,IF('Input-AF (Avg Insurance) '!$H$19="Monthly",'Input-AF (Avg Insurance) '!$J$19,""))),""))," ")</f>
        <v>552</v>
      </c>
      <c r="M28" s="6" t="str">
        <f>IF(B28&lt;&gt;"",IF(AND('Input-AF (Avg Insurance) '!$H$20="Annual",MOD(B28,12)=0),'Input-AF (Avg Insurance) '!$J$20,IF(AND('Input-AF (Avg Insurance) '!$H$20="1st Installment",B28=1),'Input-AF (Avg Insurance) '!$J$20,IF('Input-AF (Avg Insurance) '!$H$20="Monthly",'Input-AF (Avg Insurance) '!$J$20,IF(AND('Input-AF (Avg Insurance) '!$H$20="End of the loan",B28='Input-AF (Avg Insurance) '!$E$22),'Input-AF (Avg Insurance) '!$J$20,"")))),"")</f>
        <v/>
      </c>
      <c r="N28" s="6">
        <f t="shared" si="0"/>
        <v>552</v>
      </c>
      <c r="O28" s="4">
        <f t="shared" si="1"/>
        <v>6240.8998620199272</v>
      </c>
      <c r="S28" s="9">
        <f t="shared" si="2"/>
        <v>44890</v>
      </c>
      <c r="T28" s="5">
        <f t="shared" si="7"/>
        <v>6240.9</v>
      </c>
      <c r="V28" s="105"/>
      <c r="W28" s="96"/>
    </row>
    <row r="29" spans="1:24">
      <c r="A29" s="1">
        <f t="shared" si="3"/>
        <v>1</v>
      </c>
      <c r="B29" s="16">
        <f t="shared" si="8"/>
        <v>12</v>
      </c>
      <c r="C29" s="9">
        <f t="shared" si="4"/>
        <v>44920</v>
      </c>
      <c r="D29" s="6">
        <f>IFERROR(PPMT('Input-AF (Avg Insurance) '!$E$18/12,B29,$C$6,'Input-AF (Avg Insurance) '!$E$17,-$C$13,0)," ")</f>
        <v>-4602.6962866822187</v>
      </c>
      <c r="E29" s="6">
        <f>IFERROR(IPMT('Input-AF (Avg Insurance) '!$E$18/12,B29,$C$6,'Input-AF (Avg Insurance) '!$E$17,-$C$13,0)," ")</f>
        <v>-1086.2035753377074</v>
      </c>
      <c r="F29" s="6">
        <f t="shared" si="9"/>
        <v>-53940.332747211265</v>
      </c>
      <c r="G29" s="6">
        <f t="shared" si="10"/>
        <v>-14326.465597027858</v>
      </c>
      <c r="H29" s="6">
        <f t="shared" si="5"/>
        <v>-5688.8998620199263</v>
      </c>
      <c r="I29" s="6">
        <f t="shared" si="6"/>
        <v>246059.66725278873</v>
      </c>
      <c r="J29" s="6" t="str">
        <f>IF(B29&lt;&gt;"",IF(AND('Input-AF (Avg Insurance) '!$H$17="Annual",MOD(B29,12)=0),'Input-AF (Avg Insurance) '!$J$17,IF(AND('Input-AF (Avg Insurance) '!$H$17="1st Installment",B29=1),'Input-AF (Avg Insurance) '!$J$17,IF('Input-AF (Avg Insurance) '!$H$17="Monthly",'Input-AF (Avg Insurance) '!$J$17,""))),"")</f>
        <v/>
      </c>
      <c r="K29" s="6" t="str">
        <f>IF(B29&lt;&gt;"",IF(AND('Input-AF (Avg Insurance) '!$H$18="Annual",MOD(B29,12)=0),'Input-AF (Avg Insurance) '!$J$18,IF(AND('Input-AF (Avg Insurance) '!$H$18="1st Installment",B29=1),'Input-AF (Avg Insurance) '!$J$18,IF('Input-AF (Avg Insurance) '!$H$18="Monthly",'Input-AF (Avg Insurance) '!$J$18,""))),"")</f>
        <v/>
      </c>
      <c r="L29" s="6">
        <f>IF(B29&lt;=$C$6,(IF(B29&lt;&gt;"",IF(AND('Input-AF (Avg Insurance) '!$H$19="Annual",MOD(B29,12)=0),'Input-AF (Avg Insurance) '!$J$19,IF(AND('Input-AF (Avg Insurance) '!$H$19="1st Installment",B29=1),'Input-AF (Avg Insurance) '!$J$19,IF('Input-AF (Avg Insurance) '!$H$19="Monthly",'Input-AF (Avg Insurance) '!$J$19,""))),""))," ")</f>
        <v>552</v>
      </c>
      <c r="M29" s="6" t="str">
        <f>IF(B29&lt;&gt;"",IF(AND('Input-AF (Avg Insurance) '!$H$20="Annual",MOD(B29,12)=0),'Input-AF (Avg Insurance) '!$J$20,IF(AND('Input-AF (Avg Insurance) '!$H$20="1st Installment",B29=1),'Input-AF (Avg Insurance) '!$J$20,IF('Input-AF (Avg Insurance) '!$H$20="Monthly",'Input-AF (Avg Insurance) '!$J$20,IF(AND('Input-AF (Avg Insurance) '!$H$20="End of the loan",B29='Input-AF (Avg Insurance) '!$E$22),'Input-AF (Avg Insurance) '!$J$20,"")))),"")</f>
        <v/>
      </c>
      <c r="N29" s="6">
        <f t="shared" si="0"/>
        <v>552</v>
      </c>
      <c r="O29" s="4">
        <f t="shared" si="1"/>
        <v>6240.8998620199263</v>
      </c>
      <c r="S29" s="9">
        <f t="shared" si="2"/>
        <v>44920</v>
      </c>
      <c r="T29" s="5">
        <f t="shared" si="7"/>
        <v>6240.9</v>
      </c>
      <c r="V29" s="105"/>
      <c r="W29" s="96"/>
    </row>
    <row r="30" spans="1:24">
      <c r="A30" s="1">
        <f>IF(B30&lt;&gt;"",2,"")</f>
        <v>2</v>
      </c>
      <c r="B30" s="16">
        <f t="shared" si="8"/>
        <v>13</v>
      </c>
      <c r="C30" s="9">
        <f t="shared" si="4"/>
        <v>44951</v>
      </c>
      <c r="D30" s="6">
        <f>IFERROR(PPMT('Input-AF (Avg Insurance) '!$E$18/12,B30,$C$6,'Input-AF (Avg Insurance) '!$E$17,-$C$13,0)," ")</f>
        <v>-4622.641303924509</v>
      </c>
      <c r="E30" s="6">
        <f>IFERROR(IPMT('Input-AF (Avg Insurance) '!$E$18/12,B30,$C$6,'Input-AF (Avg Insurance) '!$E$17,-$C$13,0)," ")</f>
        <v>-1066.2585580954178</v>
      </c>
      <c r="F30" s="6">
        <f t="shared" si="9"/>
        <v>-58562.974051135774</v>
      </c>
      <c r="G30" s="6">
        <f t="shared" si="10"/>
        <v>-15392.724155123276</v>
      </c>
      <c r="H30" s="6">
        <f t="shared" si="5"/>
        <v>-5688.8998620199272</v>
      </c>
      <c r="I30" s="6">
        <f t="shared" si="6"/>
        <v>241437.02594886423</v>
      </c>
      <c r="J30" s="6" t="str">
        <f>IF(B30&lt;&gt;"",IF(AND('Input-AF (Avg Insurance) '!$H$17="Annual",MOD(B30,12)=0),'Input-AF (Avg Insurance) '!$J$17,IF(AND('Input-AF (Avg Insurance) '!$H$17="1st Installment",B30=1),'Input-AF (Avg Insurance) '!$J$17,IF('Input-AF (Avg Insurance) '!$H$17="Monthly",'Input-AF (Avg Insurance) '!$J$17,""))),"")</f>
        <v/>
      </c>
      <c r="K30" s="6" t="str">
        <f>IF(B30&lt;&gt;"",IF(AND('Input-AF (Avg Insurance) '!$H$18="Annual",MOD(B30,12)=0),'Input-AF (Avg Insurance) '!$J$18,IF(AND('Input-AF (Avg Insurance) '!$H$18="1st Installment",B30=1),'Input-AF (Avg Insurance) '!$J$18,IF('Input-AF (Avg Insurance) '!$H$18="Monthly",'Input-AF (Avg Insurance) '!$J$18,""))),"")</f>
        <v/>
      </c>
      <c r="L30" s="6">
        <f>IF(B30&lt;=$C$6,(IF(B30&lt;&gt;"",IF(AND('Input-AF (Avg Insurance) '!$H$19="Annual",MOD(B30,12)=0),'Input-AF (Avg Insurance) '!$J$19,IF(AND('Input-AF (Avg Insurance) '!$H$19="1st Installment",B30=1),'Input-AF (Avg Insurance) '!$J$19,IF('Input-AF (Avg Insurance) '!$H$19="Monthly",'Input-AF (Avg Insurance) '!$J$19,""))),""))," ")</f>
        <v>552</v>
      </c>
      <c r="M30" s="6" t="str">
        <f>IF(B30&lt;&gt;"",IF(AND('Input-AF (Avg Insurance) '!$H$20="Annual",MOD(B30,12)=0),'Input-AF (Avg Insurance) '!$J$20,IF(AND('Input-AF (Avg Insurance) '!$H$20="1st Installment",B30=1),'Input-AF (Avg Insurance) '!$J$20,IF('Input-AF (Avg Insurance) '!$H$20="Monthly",'Input-AF (Avg Insurance) '!$J$20,IF(AND('Input-AF (Avg Insurance) '!$H$20="End of the loan",B30='Input-AF (Avg Insurance) '!$E$22),'Input-AF (Avg Insurance) '!$J$20,"")))),"")</f>
        <v/>
      </c>
      <c r="N30" s="6">
        <f t="shared" si="0"/>
        <v>552</v>
      </c>
      <c r="O30" s="4">
        <f t="shared" si="1"/>
        <v>6240.8998620199272</v>
      </c>
      <c r="S30" s="9">
        <f t="shared" si="2"/>
        <v>44951</v>
      </c>
      <c r="T30" s="5">
        <f t="shared" si="7"/>
        <v>6240.9</v>
      </c>
      <c r="V30" s="105"/>
      <c r="W30" s="96"/>
    </row>
    <row r="31" spans="1:24">
      <c r="A31" s="1">
        <f t="shared" ref="A31:A41" si="11">IF(B31&lt;&gt;"",2,"")</f>
        <v>2</v>
      </c>
      <c r="B31" s="16">
        <f t="shared" si="8"/>
        <v>14</v>
      </c>
      <c r="C31" s="9">
        <f t="shared" si="4"/>
        <v>44982</v>
      </c>
      <c r="D31" s="6">
        <f>IFERROR(PPMT('Input-AF (Avg Insurance) '!$E$18/12,B31,$C$6,'Input-AF (Avg Insurance) '!$E$17,-$C$13,0)," ")</f>
        <v>-4642.6727495748491</v>
      </c>
      <c r="E31" s="6">
        <f>IFERROR(IPMT('Input-AF (Avg Insurance) '!$E$18/12,B31,$C$6,'Input-AF (Avg Insurance) '!$E$17,-$C$13,0)," ")</f>
        <v>-1046.2271124450781</v>
      </c>
      <c r="F31" s="6">
        <f t="shared" si="9"/>
        <v>-63205.646800710623</v>
      </c>
      <c r="G31" s="6">
        <f t="shared" si="10"/>
        <v>-16438.951267568355</v>
      </c>
      <c r="H31" s="6">
        <f t="shared" si="5"/>
        <v>-5688.8998620199272</v>
      </c>
      <c r="I31" s="6">
        <f t="shared" si="6"/>
        <v>236794.35319928938</v>
      </c>
      <c r="J31" s="6" t="str">
        <f>IF(B31&lt;&gt;"",IF(AND('Input-AF (Avg Insurance) '!$H$17="Annual",MOD(B31,12)=0),'Input-AF (Avg Insurance) '!$J$17,IF(AND('Input-AF (Avg Insurance) '!$H$17="1st Installment",B31=1),'Input-AF (Avg Insurance) '!$J$17,IF('Input-AF (Avg Insurance) '!$H$17="Monthly",'Input-AF (Avg Insurance) '!$J$17,""))),"")</f>
        <v/>
      </c>
      <c r="K31" s="6" t="str">
        <f>IF(B31&lt;&gt;"",IF(AND('Input-AF (Avg Insurance) '!$H$18="Annual",MOD(B31,12)=0),'Input-AF (Avg Insurance) '!$J$18,IF(AND('Input-AF (Avg Insurance) '!$H$18="1st Installment",B31=1),'Input-AF (Avg Insurance) '!$J$18,IF('Input-AF (Avg Insurance) '!$H$18="Monthly",'Input-AF (Avg Insurance) '!$J$18,""))),"")</f>
        <v/>
      </c>
      <c r="L31" s="6">
        <f>IF(B31&lt;=$C$6,(IF(B31&lt;&gt;"",IF(AND('Input-AF (Avg Insurance) '!$H$19="Annual",MOD(B31,12)=0),'Input-AF (Avg Insurance) '!$J$19,IF(AND('Input-AF (Avg Insurance) '!$H$19="1st Installment",B31=1),'Input-AF (Avg Insurance) '!$J$19,IF('Input-AF (Avg Insurance) '!$H$19="Monthly",'Input-AF (Avg Insurance) '!$J$19,""))),""))," ")</f>
        <v>552</v>
      </c>
      <c r="M31" s="6" t="str">
        <f>IF(B31&lt;&gt;"",IF(AND('Input-AF (Avg Insurance) '!$H$20="Annual",MOD(B31,12)=0),'Input-AF (Avg Insurance) '!$J$20,IF(AND('Input-AF (Avg Insurance) '!$H$20="1st Installment",B31=1),'Input-AF (Avg Insurance) '!$J$20,IF('Input-AF (Avg Insurance) '!$H$20="Monthly",'Input-AF (Avg Insurance) '!$J$20,IF(AND('Input-AF (Avg Insurance) '!$H$20="End of the loan",B31='Input-AF (Avg Insurance) '!$E$22),'Input-AF (Avg Insurance) '!$J$20,"")))),"")</f>
        <v/>
      </c>
      <c r="N31" s="6">
        <f t="shared" si="0"/>
        <v>552</v>
      </c>
      <c r="O31" s="4">
        <f t="shared" si="1"/>
        <v>6240.8998620199272</v>
      </c>
      <c r="S31" s="9">
        <f t="shared" si="2"/>
        <v>44982</v>
      </c>
      <c r="T31" s="5">
        <f t="shared" si="7"/>
        <v>6240.9</v>
      </c>
      <c r="V31" s="105"/>
      <c r="W31" s="96"/>
    </row>
    <row r="32" spans="1:24">
      <c r="A32" s="1">
        <f t="shared" si="11"/>
        <v>2</v>
      </c>
      <c r="B32" s="16">
        <f t="shared" si="8"/>
        <v>15</v>
      </c>
      <c r="C32" s="9">
        <f t="shared" si="4"/>
        <v>45010</v>
      </c>
      <c r="D32" s="6">
        <f>IFERROR(PPMT('Input-AF (Avg Insurance) '!$E$18/12,B32,$C$6,'Input-AF (Avg Insurance) '!$E$17,-$C$13,0)," ")</f>
        <v>-4662.7909981563389</v>
      </c>
      <c r="E32" s="6">
        <f>IFERROR(IPMT('Input-AF (Avg Insurance) '!$E$18/12,B32,$C$6,'Input-AF (Avg Insurance) '!$E$17,-$C$13,0)," ")</f>
        <v>-1026.1088638635872</v>
      </c>
      <c r="F32" s="6">
        <f t="shared" si="9"/>
        <v>-67868.437798866958</v>
      </c>
      <c r="G32" s="6">
        <f t="shared" si="10"/>
        <v>-17465.060131431943</v>
      </c>
      <c r="H32" s="6">
        <f t="shared" si="5"/>
        <v>-5688.8998620199263</v>
      </c>
      <c r="I32" s="6">
        <f t="shared" si="6"/>
        <v>232131.56220113306</v>
      </c>
      <c r="J32" s="6" t="str">
        <f>IF(B32&lt;&gt;"",IF(AND('Input-AF (Avg Insurance) '!$H$17="Annual",MOD(B32,12)=0),'Input-AF (Avg Insurance) '!$J$17,IF(AND('Input-AF (Avg Insurance) '!$H$17="1st Installment",B32=1),'Input-AF (Avg Insurance) '!$J$17,IF('Input-AF (Avg Insurance) '!$H$17="Monthly",'Input-AF (Avg Insurance) '!$J$17,""))),"")</f>
        <v/>
      </c>
      <c r="K32" s="6" t="str">
        <f>IF(B32&lt;&gt;"",IF(AND('Input-AF (Avg Insurance) '!$H$18="Annual",MOD(B32,12)=0),'Input-AF (Avg Insurance) '!$J$18,IF(AND('Input-AF (Avg Insurance) '!$H$18="1st Installment",B32=1),'Input-AF (Avg Insurance) '!$J$18,IF('Input-AF (Avg Insurance) '!$H$18="Monthly",'Input-AF (Avg Insurance) '!$J$18,""))),"")</f>
        <v/>
      </c>
      <c r="L32" s="6">
        <f>IF(B32&lt;=$C$6,(IF(B32&lt;&gt;"",IF(AND('Input-AF (Avg Insurance) '!$H$19="Annual",MOD(B32,12)=0),'Input-AF (Avg Insurance) '!$J$19,IF(AND('Input-AF (Avg Insurance) '!$H$19="1st Installment",B32=1),'Input-AF (Avg Insurance) '!$J$19,IF('Input-AF (Avg Insurance) '!$H$19="Monthly",'Input-AF (Avg Insurance) '!$J$19,""))),""))," ")</f>
        <v>552</v>
      </c>
      <c r="M32" s="6" t="str">
        <f>IF(B32&lt;&gt;"",IF(AND('Input-AF (Avg Insurance) '!$H$20="Annual",MOD(B32,12)=0),'Input-AF (Avg Insurance) '!$J$20,IF(AND('Input-AF (Avg Insurance) '!$H$20="1st Installment",B32=1),'Input-AF (Avg Insurance) '!$J$20,IF('Input-AF (Avg Insurance) '!$H$20="Monthly",'Input-AF (Avg Insurance) '!$J$20,IF(AND('Input-AF (Avg Insurance) '!$H$20="End of the loan",B32='Input-AF (Avg Insurance) '!$E$22),'Input-AF (Avg Insurance) '!$J$20,"")))),"")</f>
        <v/>
      </c>
      <c r="N32" s="6">
        <f t="shared" si="0"/>
        <v>552</v>
      </c>
      <c r="O32" s="4">
        <f t="shared" si="1"/>
        <v>6240.8998620199263</v>
      </c>
      <c r="S32" s="9">
        <f t="shared" si="2"/>
        <v>45010</v>
      </c>
      <c r="T32" s="5">
        <f t="shared" si="7"/>
        <v>6240.9</v>
      </c>
      <c r="V32" s="105"/>
      <c r="W32" s="96"/>
    </row>
    <row r="33" spans="1:23">
      <c r="A33" s="1">
        <f t="shared" si="11"/>
        <v>2</v>
      </c>
      <c r="B33" s="16">
        <f t="shared" si="8"/>
        <v>16</v>
      </c>
      <c r="C33" s="9">
        <f t="shared" si="4"/>
        <v>45041</v>
      </c>
      <c r="D33" s="6">
        <f>IFERROR(PPMT('Input-AF (Avg Insurance) '!$E$18/12,B33,$C$6,'Input-AF (Avg Insurance) '!$E$17,-$C$13,0)," ")</f>
        <v>-4682.9964258150176</v>
      </c>
      <c r="E33" s="6">
        <f>IFERROR(IPMT('Input-AF (Avg Insurance) '!$E$18/12,B33,$C$6,'Input-AF (Avg Insurance) '!$E$17,-$C$13,0)," ")</f>
        <v>-1005.9034362049098</v>
      </c>
      <c r="F33" s="6">
        <f t="shared" si="9"/>
        <v>-72551.434224681972</v>
      </c>
      <c r="G33" s="6">
        <f t="shared" si="10"/>
        <v>-18470.963567636853</v>
      </c>
      <c r="H33" s="6">
        <f t="shared" si="5"/>
        <v>-5688.8998620199272</v>
      </c>
      <c r="I33" s="6">
        <f t="shared" si="6"/>
        <v>227448.56577531801</v>
      </c>
      <c r="J33" s="6" t="str">
        <f>IF(B33&lt;&gt;"",IF(AND('Input-AF (Avg Insurance) '!$H$17="Annual",MOD(B33,12)=0),'Input-AF (Avg Insurance) '!$J$17,IF(AND('Input-AF (Avg Insurance) '!$H$17="1st Installment",B33=1),'Input-AF (Avg Insurance) '!$J$17,IF('Input-AF (Avg Insurance) '!$H$17="Monthly",'Input-AF (Avg Insurance) '!$J$17,""))),"")</f>
        <v/>
      </c>
      <c r="K33" s="6" t="str">
        <f>IF(B33&lt;&gt;"",IF(AND('Input-AF (Avg Insurance) '!$H$18="Annual",MOD(B33,12)=0),'Input-AF (Avg Insurance) '!$J$18,IF(AND('Input-AF (Avg Insurance) '!$H$18="1st Installment",B33=1),'Input-AF (Avg Insurance) '!$J$18,IF('Input-AF (Avg Insurance) '!$H$18="Monthly",'Input-AF (Avg Insurance) '!$J$18,""))),"")</f>
        <v/>
      </c>
      <c r="L33" s="6">
        <f>IF(B33&lt;=$C$6,(IF(B33&lt;&gt;"",IF(AND('Input-AF (Avg Insurance) '!$H$19="Annual",MOD(B33,12)=0),'Input-AF (Avg Insurance) '!$J$19,IF(AND('Input-AF (Avg Insurance) '!$H$19="1st Installment",B33=1),'Input-AF (Avg Insurance) '!$J$19,IF('Input-AF (Avg Insurance) '!$H$19="Monthly",'Input-AF (Avg Insurance) '!$J$19,""))),""))," ")</f>
        <v>552</v>
      </c>
      <c r="M33" s="6" t="str">
        <f>IF(B33&lt;&gt;"",IF(AND('Input-AF (Avg Insurance) '!$H$20="Annual",MOD(B33,12)=0),'Input-AF (Avg Insurance) '!$J$20,IF(AND('Input-AF (Avg Insurance) '!$H$20="1st Installment",B33=1),'Input-AF (Avg Insurance) '!$J$20,IF('Input-AF (Avg Insurance) '!$H$20="Monthly",'Input-AF (Avg Insurance) '!$J$20,IF(AND('Input-AF (Avg Insurance) '!$H$20="End of the loan",B33='Input-AF (Avg Insurance) '!$E$22),'Input-AF (Avg Insurance) '!$J$20,"")))),"")</f>
        <v/>
      </c>
      <c r="N33" s="6">
        <f t="shared" si="0"/>
        <v>552</v>
      </c>
      <c r="O33" s="4">
        <f t="shared" si="1"/>
        <v>6240.8998620199272</v>
      </c>
      <c r="S33" s="9">
        <f t="shared" si="2"/>
        <v>45041</v>
      </c>
      <c r="T33" s="5">
        <f t="shared" si="7"/>
        <v>6240.9</v>
      </c>
      <c r="V33" s="105"/>
      <c r="W33" s="96"/>
    </row>
    <row r="34" spans="1:23">
      <c r="A34" s="1">
        <f t="shared" si="11"/>
        <v>2</v>
      </c>
      <c r="B34" s="16">
        <f t="shared" si="8"/>
        <v>17</v>
      </c>
      <c r="C34" s="9">
        <f t="shared" si="4"/>
        <v>45071</v>
      </c>
      <c r="D34" s="6">
        <f>IFERROR(PPMT('Input-AF (Avg Insurance) '!$E$18/12,B34,$C$6,'Input-AF (Avg Insurance) '!$E$17,-$C$13,0)," ")</f>
        <v>-4703.2894103268818</v>
      </c>
      <c r="E34" s="6">
        <f>IFERROR(IPMT('Input-AF (Avg Insurance) '!$E$18/12,B34,$C$6,'Input-AF (Avg Insurance) '!$E$17,-$C$13,0)," ")</f>
        <v>-985.61045169304475</v>
      </c>
      <c r="F34" s="6">
        <f t="shared" si="9"/>
        <v>-77254.72363500885</v>
      </c>
      <c r="G34" s="6">
        <f t="shared" si="10"/>
        <v>-19456.574019329899</v>
      </c>
      <c r="H34" s="6">
        <f t="shared" si="5"/>
        <v>-5688.8998620199263</v>
      </c>
      <c r="I34" s="6">
        <f t="shared" si="6"/>
        <v>222745.27636499115</v>
      </c>
      <c r="J34" s="6" t="str">
        <f>IF(B34&lt;&gt;"",IF(AND('Input-AF (Avg Insurance) '!$H$17="Annual",MOD(B34,12)=0),'Input-AF (Avg Insurance) '!$J$17,IF(AND('Input-AF (Avg Insurance) '!$H$17="1st Installment",B34=1),'Input-AF (Avg Insurance) '!$J$17,IF('Input-AF (Avg Insurance) '!$H$17="Monthly",'Input-AF (Avg Insurance) '!$J$17,""))),"")</f>
        <v/>
      </c>
      <c r="K34" s="6" t="str">
        <f>IF(B34&lt;&gt;"",IF(AND('Input-AF (Avg Insurance) '!$H$18="Annual",MOD(B34,12)=0),'Input-AF (Avg Insurance) '!$J$18,IF(AND('Input-AF (Avg Insurance) '!$H$18="1st Installment",B34=1),'Input-AF (Avg Insurance) '!$J$18,IF('Input-AF (Avg Insurance) '!$H$18="Monthly",'Input-AF (Avg Insurance) '!$J$18,""))),"")</f>
        <v/>
      </c>
      <c r="L34" s="6">
        <f>IF(B34&lt;=$C$6,(IF(B34&lt;&gt;"",IF(AND('Input-AF (Avg Insurance) '!$H$19="Annual",MOD(B34,12)=0),'Input-AF (Avg Insurance) '!$J$19,IF(AND('Input-AF (Avg Insurance) '!$H$19="1st Installment",B34=1),'Input-AF (Avg Insurance) '!$J$19,IF('Input-AF (Avg Insurance) '!$H$19="Monthly",'Input-AF (Avg Insurance) '!$J$19,""))),""))," ")</f>
        <v>552</v>
      </c>
      <c r="M34" s="6" t="str">
        <f>IF(B34&lt;&gt;"",IF(AND('Input-AF (Avg Insurance) '!$H$20="Annual",MOD(B34,12)=0),'Input-AF (Avg Insurance) '!$J$20,IF(AND('Input-AF (Avg Insurance) '!$H$20="1st Installment",B34=1),'Input-AF (Avg Insurance) '!$J$20,IF('Input-AF (Avg Insurance) '!$H$20="Monthly",'Input-AF (Avg Insurance) '!$J$20,IF(AND('Input-AF (Avg Insurance) '!$H$20="End of the loan",B34='Input-AF (Avg Insurance) '!$E$22),'Input-AF (Avg Insurance) '!$J$20,"")))),"")</f>
        <v/>
      </c>
      <c r="N34" s="6">
        <f t="shared" si="0"/>
        <v>552</v>
      </c>
      <c r="O34" s="4">
        <f t="shared" si="1"/>
        <v>6240.8998620199263</v>
      </c>
      <c r="S34" s="9">
        <f t="shared" si="2"/>
        <v>45071</v>
      </c>
      <c r="T34" s="5">
        <f t="shared" si="7"/>
        <v>6240.9</v>
      </c>
      <c r="V34" s="105"/>
      <c r="W34" s="96"/>
    </row>
    <row r="35" spans="1:23">
      <c r="A35" s="1">
        <f t="shared" si="11"/>
        <v>2</v>
      </c>
      <c r="B35" s="16">
        <f t="shared" si="8"/>
        <v>18</v>
      </c>
      <c r="C35" s="9">
        <f t="shared" si="4"/>
        <v>45102</v>
      </c>
      <c r="D35" s="6">
        <f>IFERROR(PPMT('Input-AF (Avg Insurance) '!$E$18/12,B35,$C$6,'Input-AF (Avg Insurance) '!$E$17,-$C$13,0)," ")</f>
        <v>-4723.670331104965</v>
      </c>
      <c r="E35" s="6">
        <f>IFERROR(IPMT('Input-AF (Avg Insurance) '!$E$18/12,B35,$C$6,'Input-AF (Avg Insurance) '!$E$17,-$C$13,0)," ")</f>
        <v>-965.2295309149614</v>
      </c>
      <c r="F35" s="6">
        <f t="shared" si="9"/>
        <v>-81978.393966113814</v>
      </c>
      <c r="G35" s="6">
        <f t="shared" si="10"/>
        <v>-20421.803550244862</v>
      </c>
      <c r="H35" s="6">
        <f t="shared" si="5"/>
        <v>-5688.8998620199263</v>
      </c>
      <c r="I35" s="6">
        <f t="shared" si="6"/>
        <v>218021.6060338862</v>
      </c>
      <c r="J35" s="6" t="str">
        <f>IF(B35&lt;&gt;"",IF(AND('Input-AF (Avg Insurance) '!$H$17="Annual",MOD(B35,12)=0),'Input-AF (Avg Insurance) '!$J$17,IF(AND('Input-AF (Avg Insurance) '!$H$17="1st Installment",B35=1),'Input-AF (Avg Insurance) '!$J$17,IF('Input-AF (Avg Insurance) '!$H$17="Monthly",'Input-AF (Avg Insurance) '!$J$17,""))),"")</f>
        <v/>
      </c>
      <c r="K35" s="6" t="str">
        <f>IF(B35&lt;&gt;"",IF(AND('Input-AF (Avg Insurance) '!$H$18="Annual",MOD(B35,12)=0),'Input-AF (Avg Insurance) '!$J$18,IF(AND('Input-AF (Avg Insurance) '!$H$18="1st Installment",B35=1),'Input-AF (Avg Insurance) '!$J$18,IF('Input-AF (Avg Insurance) '!$H$18="Monthly",'Input-AF (Avg Insurance) '!$J$18,""))),"")</f>
        <v/>
      </c>
      <c r="L35" s="6">
        <f>IF(B35&lt;=$C$6,(IF(B35&lt;&gt;"",IF(AND('Input-AF (Avg Insurance) '!$H$19="Annual",MOD(B35,12)=0),'Input-AF (Avg Insurance) '!$J$19,IF(AND('Input-AF (Avg Insurance) '!$H$19="1st Installment",B35=1),'Input-AF (Avg Insurance) '!$J$19,IF('Input-AF (Avg Insurance) '!$H$19="Monthly",'Input-AF (Avg Insurance) '!$J$19,""))),""))," ")</f>
        <v>552</v>
      </c>
      <c r="M35" s="6" t="str">
        <f>IF(B35&lt;&gt;"",IF(AND('Input-AF (Avg Insurance) '!$H$20="Annual",MOD(B35,12)=0),'Input-AF (Avg Insurance) '!$J$20,IF(AND('Input-AF (Avg Insurance) '!$H$20="1st Installment",B35=1),'Input-AF (Avg Insurance) '!$J$20,IF('Input-AF (Avg Insurance) '!$H$20="Monthly",'Input-AF (Avg Insurance) '!$J$20,IF(AND('Input-AF (Avg Insurance) '!$H$20="End of the loan",B35='Input-AF (Avg Insurance) '!$E$22),'Input-AF (Avg Insurance) '!$J$20,"")))),"")</f>
        <v/>
      </c>
      <c r="N35" s="6">
        <f t="shared" si="0"/>
        <v>552</v>
      </c>
      <c r="O35" s="4">
        <f t="shared" si="1"/>
        <v>6240.8998620199263</v>
      </c>
      <c r="S35" s="9">
        <f t="shared" si="2"/>
        <v>45102</v>
      </c>
      <c r="T35" s="5">
        <f t="shared" si="7"/>
        <v>6240.9</v>
      </c>
      <c r="V35" s="105"/>
      <c r="W35" s="96"/>
    </row>
    <row r="36" spans="1:23">
      <c r="A36" s="1">
        <f t="shared" si="11"/>
        <v>2</v>
      </c>
      <c r="B36" s="16">
        <f t="shared" si="8"/>
        <v>19</v>
      </c>
      <c r="C36" s="9">
        <f t="shared" si="4"/>
        <v>45132</v>
      </c>
      <c r="D36" s="6">
        <f>IFERROR(PPMT('Input-AF (Avg Insurance) '!$E$18/12,B36,$C$6,'Input-AF (Avg Insurance) '!$E$17,-$C$13,0)," ")</f>
        <v>-4744.1395692064207</v>
      </c>
      <c r="E36" s="6">
        <f>IFERROR(IPMT('Input-AF (Avg Insurance) '!$E$18/12,B36,$C$6,'Input-AF (Avg Insurance) '!$E$17,-$C$13,0)," ")</f>
        <v>-944.76029281350679</v>
      </c>
      <c r="F36" s="6">
        <f t="shared" si="9"/>
        <v>-86722.533535320239</v>
      </c>
      <c r="G36" s="6">
        <f t="shared" si="10"/>
        <v>-21366.563843058368</v>
      </c>
      <c r="H36" s="6">
        <f t="shared" si="5"/>
        <v>-5688.8998620199272</v>
      </c>
      <c r="I36" s="6">
        <f t="shared" si="6"/>
        <v>213277.46646467975</v>
      </c>
      <c r="J36" s="6" t="str">
        <f>IF(B36&lt;&gt;"",IF(AND('Input-AF (Avg Insurance) '!$H$17="Annual",MOD(B36,12)=0),'Input-AF (Avg Insurance) '!$J$17,IF(AND('Input-AF (Avg Insurance) '!$H$17="1st Installment",B36=1),'Input-AF (Avg Insurance) '!$J$17,IF('Input-AF (Avg Insurance) '!$H$17="Monthly",'Input-AF (Avg Insurance) '!$J$17,""))),"")</f>
        <v/>
      </c>
      <c r="K36" s="6" t="str">
        <f>IF(B36&lt;&gt;"",IF(AND('Input-AF (Avg Insurance) '!$H$18="Annual",MOD(B36,12)=0),'Input-AF (Avg Insurance) '!$J$18,IF(AND('Input-AF (Avg Insurance) '!$H$18="1st Installment",B36=1),'Input-AF (Avg Insurance) '!$J$18,IF('Input-AF (Avg Insurance) '!$H$18="Monthly",'Input-AF (Avg Insurance) '!$J$18,""))),"")</f>
        <v/>
      </c>
      <c r="L36" s="6">
        <f>IF(B36&lt;=$C$6,(IF(B36&lt;&gt;"",IF(AND('Input-AF (Avg Insurance) '!$H$19="Annual",MOD(B36,12)=0),'Input-AF (Avg Insurance) '!$J$19,IF(AND('Input-AF (Avg Insurance) '!$H$19="1st Installment",B36=1),'Input-AF (Avg Insurance) '!$J$19,IF('Input-AF (Avg Insurance) '!$H$19="Monthly",'Input-AF (Avg Insurance) '!$J$19,""))),""))," ")</f>
        <v>552</v>
      </c>
      <c r="M36" s="6" t="str">
        <f>IF(B36&lt;&gt;"",IF(AND('Input-AF (Avg Insurance) '!$H$20="Annual",MOD(B36,12)=0),'Input-AF (Avg Insurance) '!$J$20,IF(AND('Input-AF (Avg Insurance) '!$H$20="1st Installment",B36=1),'Input-AF (Avg Insurance) '!$J$20,IF('Input-AF (Avg Insurance) '!$H$20="Monthly",'Input-AF (Avg Insurance) '!$J$20,IF(AND('Input-AF (Avg Insurance) '!$H$20="End of the loan",B36='Input-AF (Avg Insurance) '!$E$22),'Input-AF (Avg Insurance) '!$J$20,"")))),"")</f>
        <v/>
      </c>
      <c r="N36" s="6">
        <f t="shared" si="0"/>
        <v>552</v>
      </c>
      <c r="O36" s="4">
        <f t="shared" si="1"/>
        <v>6240.8998620199272</v>
      </c>
      <c r="S36" s="9">
        <f t="shared" si="2"/>
        <v>45132</v>
      </c>
      <c r="T36" s="5">
        <f t="shared" si="7"/>
        <v>6240.9</v>
      </c>
      <c r="V36" s="105"/>
      <c r="W36" s="96"/>
    </row>
    <row r="37" spans="1:23">
      <c r="A37" s="1">
        <f t="shared" si="11"/>
        <v>2</v>
      </c>
      <c r="B37" s="16">
        <f t="shared" si="8"/>
        <v>20</v>
      </c>
      <c r="C37" s="9">
        <f t="shared" si="4"/>
        <v>45163</v>
      </c>
      <c r="D37" s="6">
        <f>IFERROR(PPMT('Input-AF (Avg Insurance) '!$E$18/12,B37,$C$6,'Input-AF (Avg Insurance) '!$E$17,-$C$13,0)," ")</f>
        <v>-4764.6975073396479</v>
      </c>
      <c r="E37" s="6">
        <f>IFERROR(IPMT('Input-AF (Avg Insurance) '!$E$18/12,B37,$C$6,'Input-AF (Avg Insurance) '!$E$17,-$C$13,0)," ")</f>
        <v>-924.20235468027897</v>
      </c>
      <c r="F37" s="6">
        <f t="shared" si="9"/>
        <v>-91487.231042659885</v>
      </c>
      <c r="G37" s="6">
        <f t="shared" si="10"/>
        <v>-22290.766197738645</v>
      </c>
      <c r="H37" s="6">
        <f t="shared" si="5"/>
        <v>-5688.8998620199272</v>
      </c>
      <c r="I37" s="6">
        <f t="shared" si="6"/>
        <v>208512.7689573401</v>
      </c>
      <c r="J37" s="6" t="str">
        <f>IF(B37&lt;&gt;"",IF(AND('Input-AF (Avg Insurance) '!$H$17="Annual",MOD(B37,12)=0),'Input-AF (Avg Insurance) '!$J$17,IF(AND('Input-AF (Avg Insurance) '!$H$17="1st Installment",B37=1),'Input-AF (Avg Insurance) '!$J$17,IF('Input-AF (Avg Insurance) '!$H$17="Monthly",'Input-AF (Avg Insurance) '!$J$17,""))),"")</f>
        <v/>
      </c>
      <c r="K37" s="6" t="str">
        <f>IF(B37&lt;&gt;"",IF(AND('Input-AF (Avg Insurance) '!$H$18="Annual",MOD(B37,12)=0),'Input-AF (Avg Insurance) '!$J$18,IF(AND('Input-AF (Avg Insurance) '!$H$18="1st Installment",B37=1),'Input-AF (Avg Insurance) '!$J$18,IF('Input-AF (Avg Insurance) '!$H$18="Monthly",'Input-AF (Avg Insurance) '!$J$18,""))),"")</f>
        <v/>
      </c>
      <c r="L37" s="6">
        <f>IF(B37&lt;=$C$6,(IF(B37&lt;&gt;"",IF(AND('Input-AF (Avg Insurance) '!$H$19="Annual",MOD(B37,12)=0),'Input-AF (Avg Insurance) '!$J$19,IF(AND('Input-AF (Avg Insurance) '!$H$19="1st Installment",B37=1),'Input-AF (Avg Insurance) '!$J$19,IF('Input-AF (Avg Insurance) '!$H$19="Monthly",'Input-AF (Avg Insurance) '!$J$19,""))),""))," ")</f>
        <v>552</v>
      </c>
      <c r="M37" s="6" t="str">
        <f>IF(B37&lt;&gt;"",IF(AND('Input-AF (Avg Insurance) '!$H$20="Annual",MOD(B37,12)=0),'Input-AF (Avg Insurance) '!$J$20,IF(AND('Input-AF (Avg Insurance) '!$H$20="1st Installment",B37=1),'Input-AF (Avg Insurance) '!$J$20,IF('Input-AF (Avg Insurance) '!$H$20="Monthly",'Input-AF (Avg Insurance) '!$J$20,IF(AND('Input-AF (Avg Insurance) '!$H$20="End of the loan",B37='Input-AF (Avg Insurance) '!$E$22),'Input-AF (Avg Insurance) '!$J$20,"")))),"")</f>
        <v/>
      </c>
      <c r="N37" s="6">
        <f t="shared" si="0"/>
        <v>552</v>
      </c>
      <c r="O37" s="4">
        <f t="shared" si="1"/>
        <v>6240.8998620199272</v>
      </c>
      <c r="S37" s="9">
        <f t="shared" si="2"/>
        <v>45163</v>
      </c>
      <c r="T37" s="5">
        <f t="shared" si="7"/>
        <v>6240.9</v>
      </c>
      <c r="V37" s="105"/>
      <c r="W37" s="96"/>
    </row>
    <row r="38" spans="1:23">
      <c r="A38" s="1">
        <f t="shared" si="11"/>
        <v>2</v>
      </c>
      <c r="B38" s="16">
        <f t="shared" si="8"/>
        <v>21</v>
      </c>
      <c r="C38" s="9">
        <f t="shared" si="4"/>
        <v>45194</v>
      </c>
      <c r="D38" s="6">
        <f>IFERROR(PPMT('Input-AF (Avg Insurance) '!$E$18/12,B38,$C$6,'Input-AF (Avg Insurance) '!$E$17,-$C$13,0)," ")</f>
        <v>-4785.3445298714523</v>
      </c>
      <c r="E38" s="6">
        <f>IFERROR(IPMT('Input-AF (Avg Insurance) '!$E$18/12,B38,$C$6,'Input-AF (Avg Insurance) '!$E$17,-$C$13,0)," ")</f>
        <v>-903.55533214847378</v>
      </c>
      <c r="F38" s="6">
        <f t="shared" si="9"/>
        <v>-96272.575572531336</v>
      </c>
      <c r="G38" s="6">
        <f t="shared" si="10"/>
        <v>-23194.321529887118</v>
      </c>
      <c r="H38" s="6">
        <f t="shared" si="5"/>
        <v>-5688.8998620199263</v>
      </c>
      <c r="I38" s="6">
        <f t="shared" si="6"/>
        <v>203727.42442746868</v>
      </c>
      <c r="J38" s="6" t="str">
        <f>IF(B38&lt;&gt;"",IF(AND('Input-AF (Avg Insurance) '!$H$17="Annual",MOD(B38,12)=0),'Input-AF (Avg Insurance) '!$J$17,IF(AND('Input-AF (Avg Insurance) '!$H$17="1st Installment",B38=1),'Input-AF (Avg Insurance) '!$J$17,IF('Input-AF (Avg Insurance) '!$H$17="Monthly",'Input-AF (Avg Insurance) '!$J$17,""))),"")</f>
        <v/>
      </c>
      <c r="K38" s="6" t="str">
        <f>IF(B38&lt;&gt;"",IF(AND('Input-AF (Avg Insurance) '!$H$18="Annual",MOD(B38,12)=0),'Input-AF (Avg Insurance) '!$J$18,IF(AND('Input-AF (Avg Insurance) '!$H$18="1st Installment",B38=1),'Input-AF (Avg Insurance) '!$J$18,IF('Input-AF (Avg Insurance) '!$H$18="Monthly",'Input-AF (Avg Insurance) '!$J$18,""))),"")</f>
        <v/>
      </c>
      <c r="L38" s="6">
        <f>IF(B38&lt;=$C$6,(IF(B38&lt;&gt;"",IF(AND('Input-AF (Avg Insurance) '!$H$19="Annual",MOD(B38,12)=0),'Input-AF (Avg Insurance) '!$J$19,IF(AND('Input-AF (Avg Insurance) '!$H$19="1st Installment",B38=1),'Input-AF (Avg Insurance) '!$J$19,IF('Input-AF (Avg Insurance) '!$H$19="Monthly",'Input-AF (Avg Insurance) '!$J$19,""))),""))," ")</f>
        <v>552</v>
      </c>
      <c r="M38" s="6" t="str">
        <f>IF(B38&lt;&gt;"",IF(AND('Input-AF (Avg Insurance) '!$H$20="Annual",MOD(B38,12)=0),'Input-AF (Avg Insurance) '!$J$20,IF(AND('Input-AF (Avg Insurance) '!$H$20="1st Installment",B38=1),'Input-AF (Avg Insurance) '!$J$20,IF('Input-AF (Avg Insurance) '!$H$20="Monthly",'Input-AF (Avg Insurance) '!$J$20,IF(AND('Input-AF (Avg Insurance) '!$H$20="End of the loan",B38='Input-AF (Avg Insurance) '!$E$22),'Input-AF (Avg Insurance) '!$J$20,"")))),"")</f>
        <v/>
      </c>
      <c r="N38" s="6">
        <f t="shared" si="0"/>
        <v>552</v>
      </c>
      <c r="O38" s="4">
        <f t="shared" si="1"/>
        <v>6240.8998620199263</v>
      </c>
      <c r="S38" s="9">
        <f t="shared" si="2"/>
        <v>45194</v>
      </c>
      <c r="T38" s="5">
        <f t="shared" si="7"/>
        <v>6240.9</v>
      </c>
      <c r="V38" s="105"/>
      <c r="W38" s="96"/>
    </row>
    <row r="39" spans="1:23">
      <c r="A39" s="1">
        <f t="shared" si="11"/>
        <v>2</v>
      </c>
      <c r="B39" s="16">
        <f t="shared" si="8"/>
        <v>22</v>
      </c>
      <c r="C39" s="9">
        <f t="shared" si="4"/>
        <v>45224</v>
      </c>
      <c r="D39" s="6">
        <f>IFERROR(PPMT('Input-AF (Avg Insurance) '!$E$18/12,B39,$C$6,'Input-AF (Avg Insurance) '!$E$17,-$C$13,0)," ")</f>
        <v>-4806.0810228342298</v>
      </c>
      <c r="E39" s="6">
        <f>IFERROR(IPMT('Input-AF (Avg Insurance) '!$E$18/12,B39,$C$6,'Input-AF (Avg Insurance) '!$E$17,-$C$13,0)," ")</f>
        <v>-882.81883918569747</v>
      </c>
      <c r="F39" s="6">
        <f t="shared" si="9"/>
        <v>-101078.65659536557</v>
      </c>
      <c r="G39" s="6">
        <f t="shared" si="10"/>
        <v>-24077.140369072815</v>
      </c>
      <c r="H39" s="6">
        <f t="shared" si="5"/>
        <v>-5688.8998620199272</v>
      </c>
      <c r="I39" s="6">
        <f t="shared" si="6"/>
        <v>198921.34340463445</v>
      </c>
      <c r="J39" s="6" t="str">
        <f>IF(B39&lt;&gt;"",IF(AND('Input-AF (Avg Insurance) '!$H$17="Annual",MOD(B39,12)=0),'Input-AF (Avg Insurance) '!$J$17,IF(AND('Input-AF (Avg Insurance) '!$H$17="1st Installment",B39=1),'Input-AF (Avg Insurance) '!$J$17,IF('Input-AF (Avg Insurance) '!$H$17="Monthly",'Input-AF (Avg Insurance) '!$J$17,""))),"")</f>
        <v/>
      </c>
      <c r="K39" s="6" t="str">
        <f>IF(B39&lt;&gt;"",IF(AND('Input-AF (Avg Insurance) '!$H$18="Annual",MOD(B39,12)=0),'Input-AF (Avg Insurance) '!$J$18,IF(AND('Input-AF (Avg Insurance) '!$H$18="1st Installment",B39=1),'Input-AF (Avg Insurance) '!$J$18,IF('Input-AF (Avg Insurance) '!$H$18="Monthly",'Input-AF (Avg Insurance) '!$J$18,""))),"")</f>
        <v/>
      </c>
      <c r="L39" s="6">
        <f>IF(B39&lt;=$C$6,(IF(B39&lt;&gt;"",IF(AND('Input-AF (Avg Insurance) '!$H$19="Annual",MOD(B39,12)=0),'Input-AF (Avg Insurance) '!$J$19,IF(AND('Input-AF (Avg Insurance) '!$H$19="1st Installment",B39=1),'Input-AF (Avg Insurance) '!$J$19,IF('Input-AF (Avg Insurance) '!$H$19="Monthly",'Input-AF (Avg Insurance) '!$J$19,""))),""))," ")</f>
        <v>552</v>
      </c>
      <c r="M39" s="6" t="str">
        <f>IF(B39&lt;&gt;"",IF(AND('Input-AF (Avg Insurance) '!$H$20="Annual",MOD(B39,12)=0),'Input-AF (Avg Insurance) '!$J$20,IF(AND('Input-AF (Avg Insurance) '!$H$20="1st Installment",B39=1),'Input-AF (Avg Insurance) '!$J$20,IF('Input-AF (Avg Insurance) '!$H$20="Monthly",'Input-AF (Avg Insurance) '!$J$20,IF(AND('Input-AF (Avg Insurance) '!$H$20="End of the loan",B39='Input-AF (Avg Insurance) '!$E$22),'Input-AF (Avg Insurance) '!$J$20,"")))),"")</f>
        <v/>
      </c>
      <c r="N39" s="6">
        <f t="shared" si="0"/>
        <v>552</v>
      </c>
      <c r="O39" s="4">
        <f t="shared" si="1"/>
        <v>6240.8998620199272</v>
      </c>
      <c r="S39" s="9">
        <f t="shared" si="2"/>
        <v>45224</v>
      </c>
      <c r="T39" s="5">
        <f t="shared" si="7"/>
        <v>6240.9</v>
      </c>
      <c r="V39" s="105"/>
      <c r="W39" s="96"/>
    </row>
    <row r="40" spans="1:23">
      <c r="A40" s="1">
        <f t="shared" si="11"/>
        <v>2</v>
      </c>
      <c r="B40" s="16">
        <f t="shared" si="8"/>
        <v>23</v>
      </c>
      <c r="C40" s="9">
        <f t="shared" si="4"/>
        <v>45255</v>
      </c>
      <c r="D40" s="6">
        <f>IFERROR(PPMT('Input-AF (Avg Insurance) '!$E$18/12,B40,$C$6,'Input-AF (Avg Insurance) '!$E$17,-$C$13,0)," ")</f>
        <v>-4826.907373933178</v>
      </c>
      <c r="E40" s="6">
        <f>IFERROR(IPMT('Input-AF (Avg Insurance) '!$E$18/12,B40,$C$6,'Input-AF (Avg Insurance) '!$E$17,-$C$13,0)," ")</f>
        <v>-861.99248808674906</v>
      </c>
      <c r="F40" s="6">
        <f t="shared" si="9"/>
        <v>-105905.56396929875</v>
      </c>
      <c r="G40" s="6">
        <f t="shared" si="10"/>
        <v>-24939.132857159562</v>
      </c>
      <c r="H40" s="6">
        <f t="shared" si="5"/>
        <v>-5688.8998620199272</v>
      </c>
      <c r="I40" s="6">
        <f t="shared" si="6"/>
        <v>194094.43603070127</v>
      </c>
      <c r="J40" s="6" t="str">
        <f>IF(B40&lt;&gt;"",IF(AND('Input-AF (Avg Insurance) '!$H$17="Annual",MOD(B40,12)=0),'Input-AF (Avg Insurance) '!$J$17,IF(AND('Input-AF (Avg Insurance) '!$H$17="1st Installment",B40=1),'Input-AF (Avg Insurance) '!$J$17,IF('Input-AF (Avg Insurance) '!$H$17="Monthly",'Input-AF (Avg Insurance) '!$J$17,""))),"")</f>
        <v/>
      </c>
      <c r="K40" s="6" t="str">
        <f>IF(B40&lt;&gt;"",IF(AND('Input-AF (Avg Insurance) '!$H$18="Annual",MOD(B40,12)=0),'Input-AF (Avg Insurance) '!$J$18,IF(AND('Input-AF (Avg Insurance) '!$H$18="1st Installment",B40=1),'Input-AF (Avg Insurance) '!$J$18,IF('Input-AF (Avg Insurance) '!$H$18="Monthly",'Input-AF (Avg Insurance) '!$J$18,""))),"")</f>
        <v/>
      </c>
      <c r="L40" s="6">
        <f>IF(B40&lt;=$C$6,(IF(B40&lt;&gt;"",IF(AND('Input-AF (Avg Insurance) '!$H$19="Annual",MOD(B40,12)=0),'Input-AF (Avg Insurance) '!$J$19,IF(AND('Input-AF (Avg Insurance) '!$H$19="1st Installment",B40=1),'Input-AF (Avg Insurance) '!$J$19,IF('Input-AF (Avg Insurance) '!$H$19="Monthly",'Input-AF (Avg Insurance) '!$J$19,""))),""))," ")</f>
        <v>552</v>
      </c>
      <c r="M40" s="6" t="str">
        <f>IF(B40&lt;&gt;"",IF(AND('Input-AF (Avg Insurance) '!$H$20="Annual",MOD(B40,12)=0),'Input-AF (Avg Insurance) '!$J$20,IF(AND('Input-AF (Avg Insurance) '!$H$20="1st Installment",B40=1),'Input-AF (Avg Insurance) '!$J$20,IF('Input-AF (Avg Insurance) '!$H$20="Monthly",'Input-AF (Avg Insurance) '!$J$20,IF(AND('Input-AF (Avg Insurance) '!$H$20="End of the loan",B40='Input-AF (Avg Insurance) '!$E$22),'Input-AF (Avg Insurance) '!$J$20,"")))),"")</f>
        <v/>
      </c>
      <c r="N40" s="6">
        <f t="shared" si="0"/>
        <v>552</v>
      </c>
      <c r="O40" s="4">
        <f t="shared" si="1"/>
        <v>6240.8998620199272</v>
      </c>
      <c r="S40" s="9">
        <f t="shared" si="2"/>
        <v>45255</v>
      </c>
      <c r="T40" s="5">
        <f t="shared" si="7"/>
        <v>6240.9</v>
      </c>
      <c r="V40" s="105"/>
      <c r="W40" s="96"/>
    </row>
    <row r="41" spans="1:23">
      <c r="A41" s="1">
        <f t="shared" si="11"/>
        <v>2</v>
      </c>
      <c r="B41" s="16">
        <f t="shared" si="8"/>
        <v>24</v>
      </c>
      <c r="C41" s="9">
        <f t="shared" si="4"/>
        <v>45285</v>
      </c>
      <c r="D41" s="6">
        <f>IFERROR(PPMT('Input-AF (Avg Insurance) '!$E$18/12,B41,$C$6,'Input-AF (Avg Insurance) '!$E$17,-$C$13,0)," ")</f>
        <v>-4847.823972553555</v>
      </c>
      <c r="E41" s="6">
        <f>IFERROR(IPMT('Input-AF (Avg Insurance) '!$E$18/12,B41,$C$6,'Input-AF (Avg Insurance) '!$E$17,-$C$13,0)," ")</f>
        <v>-841.07588946637202</v>
      </c>
      <c r="F41" s="6">
        <f t="shared" si="9"/>
        <v>-110753.3879418523</v>
      </c>
      <c r="G41" s="6">
        <f t="shared" si="10"/>
        <v>-25780.208746625933</v>
      </c>
      <c r="H41" s="6">
        <f t="shared" si="5"/>
        <v>-5688.8998620199272</v>
      </c>
      <c r="I41" s="6">
        <f t="shared" si="6"/>
        <v>189246.6120581477</v>
      </c>
      <c r="J41" s="6" t="str">
        <f>IF(B41&lt;&gt;"",IF(AND('Input-AF (Avg Insurance) '!$H$17="Annual",MOD(B41,12)=0),'Input-AF (Avg Insurance) '!$J$17,IF(AND('Input-AF (Avg Insurance) '!$H$17="1st Installment",B41=1),'Input-AF (Avg Insurance) '!$J$17,IF('Input-AF (Avg Insurance) '!$H$17="Monthly",'Input-AF (Avg Insurance) '!$J$17,""))),"")</f>
        <v/>
      </c>
      <c r="K41" s="6" t="str">
        <f>IF(B41&lt;&gt;"",IF(AND('Input-AF (Avg Insurance) '!$H$18="Annual",MOD(B41,12)=0),'Input-AF (Avg Insurance) '!$J$18,IF(AND('Input-AF (Avg Insurance) '!$H$18="1st Installment",B41=1),'Input-AF (Avg Insurance) '!$J$18,IF('Input-AF (Avg Insurance) '!$H$18="Monthly",'Input-AF (Avg Insurance) '!$J$18,""))),"")</f>
        <v/>
      </c>
      <c r="L41" s="6">
        <f>IF(B41&lt;=$C$6,(IF(B41&lt;&gt;"",IF(AND('Input-AF (Avg Insurance) '!$H$19="Annual",MOD(B41,12)=0),'Input-AF (Avg Insurance) '!$J$19,IF(AND('Input-AF (Avg Insurance) '!$H$19="1st Installment",B41=1),'Input-AF (Avg Insurance) '!$J$19,IF('Input-AF (Avg Insurance) '!$H$19="Monthly",'Input-AF (Avg Insurance) '!$J$19,""))),""))," ")</f>
        <v>552</v>
      </c>
      <c r="M41" s="6" t="str">
        <f>IF(B41&lt;&gt;"",IF(AND('Input-AF (Avg Insurance) '!$H$20="Annual",MOD(B41,12)=0),'Input-AF (Avg Insurance) '!$J$20,IF(AND('Input-AF (Avg Insurance) '!$H$20="1st Installment",B41=1),'Input-AF (Avg Insurance) '!$J$20,IF('Input-AF (Avg Insurance) '!$H$20="Monthly",'Input-AF (Avg Insurance) '!$J$20,IF(AND('Input-AF (Avg Insurance) '!$H$20="End of the loan",B41='Input-AF (Avg Insurance) '!$E$22),'Input-AF (Avg Insurance) '!$J$20,"")))),"")</f>
        <v/>
      </c>
      <c r="N41" s="6">
        <f t="shared" si="0"/>
        <v>552</v>
      </c>
      <c r="O41" s="4">
        <f t="shared" si="1"/>
        <v>6240.8998620199272</v>
      </c>
      <c r="S41" s="9">
        <f t="shared" si="2"/>
        <v>45285</v>
      </c>
      <c r="T41" s="5">
        <f t="shared" si="7"/>
        <v>6240.9</v>
      </c>
      <c r="V41" s="105"/>
      <c r="W41" s="96"/>
    </row>
    <row r="42" spans="1:23">
      <c r="A42" s="1">
        <f>IF(B42&lt;&gt;"",3,"")</f>
        <v>3</v>
      </c>
      <c r="B42" s="16">
        <f t="shared" si="8"/>
        <v>25</v>
      </c>
      <c r="C42" s="9">
        <f t="shared" si="4"/>
        <v>45316</v>
      </c>
      <c r="D42" s="6">
        <f>IFERROR(PPMT('Input-AF (Avg Insurance) '!$E$18/12,B42,$C$6,'Input-AF (Avg Insurance) '!$E$17,-$C$13,0)," ")</f>
        <v>-4868.8312097679536</v>
      </c>
      <c r="E42" s="6">
        <f>IFERROR(IPMT('Input-AF (Avg Insurance) '!$E$18/12,B42,$C$6,'Input-AF (Avg Insurance) '!$E$17,-$C$13,0)," ")</f>
        <v>-820.0686522519735</v>
      </c>
      <c r="F42" s="6">
        <f t="shared" si="9"/>
        <v>-115622.21915162026</v>
      </c>
      <c r="G42" s="6">
        <f t="shared" si="10"/>
        <v>-26600.277398877904</v>
      </c>
      <c r="H42" s="6">
        <f t="shared" si="5"/>
        <v>-5688.8998620199272</v>
      </c>
      <c r="I42" s="6">
        <f t="shared" si="6"/>
        <v>184377.78084837974</v>
      </c>
      <c r="J42" s="6" t="str">
        <f>IF(B42&lt;&gt;"",IF(AND('Input-AF (Avg Insurance) '!$H$17="Annual",MOD(B42,12)=0),'Input-AF (Avg Insurance) '!$J$17,IF(AND('Input-AF (Avg Insurance) '!$H$17="1st Installment",B42=1),'Input-AF (Avg Insurance) '!$J$17,IF('Input-AF (Avg Insurance) '!$H$17="Monthly",'Input-AF (Avg Insurance) '!$J$17,""))),"")</f>
        <v/>
      </c>
      <c r="K42" s="6" t="str">
        <f>IF(B42&lt;&gt;"",IF(AND('Input-AF (Avg Insurance) '!$H$18="Annual",MOD(B42,12)=0),'Input-AF (Avg Insurance) '!$J$18,IF(AND('Input-AF (Avg Insurance) '!$H$18="1st Installment",B42=1),'Input-AF (Avg Insurance) '!$J$18,IF('Input-AF (Avg Insurance) '!$H$18="Monthly",'Input-AF (Avg Insurance) '!$J$18,""))),"")</f>
        <v/>
      </c>
      <c r="L42" s="6">
        <f>IF(B42&lt;=$C$6,(IF(B42&lt;&gt;"",IF(AND('Input-AF (Avg Insurance) '!$H$19="Annual",MOD(B42,12)=0),'Input-AF (Avg Insurance) '!$J$19,IF(AND('Input-AF (Avg Insurance) '!$H$19="1st Installment",B42=1),'Input-AF (Avg Insurance) '!$J$19,IF('Input-AF (Avg Insurance) '!$H$19="Monthly",'Input-AF (Avg Insurance) '!$J$19,""))),""))," ")</f>
        <v>552</v>
      </c>
      <c r="M42" s="6" t="str">
        <f>IF(B42&lt;&gt;"",IF(AND('Input-AF (Avg Insurance) '!$H$20="Annual",MOD(B42,12)=0),'Input-AF (Avg Insurance) '!$J$20,IF(AND('Input-AF (Avg Insurance) '!$H$20="1st Installment",B42=1),'Input-AF (Avg Insurance) '!$J$20,IF('Input-AF (Avg Insurance) '!$H$20="Monthly",'Input-AF (Avg Insurance) '!$J$20,IF(AND('Input-AF (Avg Insurance) '!$H$20="End of the loan",B42='Input-AF (Avg Insurance) '!$E$22),'Input-AF (Avg Insurance) '!$J$20,"")))),"")</f>
        <v/>
      </c>
      <c r="N42" s="6">
        <f t="shared" si="0"/>
        <v>552</v>
      </c>
      <c r="O42" s="4">
        <f t="shared" si="1"/>
        <v>6240.8998620199272</v>
      </c>
      <c r="S42" s="9">
        <f t="shared" si="2"/>
        <v>45316</v>
      </c>
      <c r="T42" s="5">
        <f t="shared" si="7"/>
        <v>6240.9</v>
      </c>
      <c r="V42" s="105"/>
      <c r="W42" s="96"/>
    </row>
    <row r="43" spans="1:23">
      <c r="A43" s="1">
        <f t="shared" ref="A43:A53" si="12">IF(B43&lt;&gt;"",3,"")</f>
        <v>3</v>
      </c>
      <c r="B43" s="16">
        <f t="shared" si="8"/>
        <v>26</v>
      </c>
      <c r="C43" s="9">
        <f t="shared" si="4"/>
        <v>45347</v>
      </c>
      <c r="D43" s="6">
        <f>IFERROR(PPMT('Input-AF (Avg Insurance) '!$E$18/12,B43,$C$6,'Input-AF (Avg Insurance) '!$E$17,-$C$13,0)," ")</f>
        <v>-4889.9294783436144</v>
      </c>
      <c r="E43" s="6">
        <f>IFERROR(IPMT('Input-AF (Avg Insurance) '!$E$18/12,B43,$C$6,'Input-AF (Avg Insurance) '!$E$17,-$C$13,0)," ")</f>
        <v>-798.97038367631205</v>
      </c>
      <c r="F43" s="6">
        <f t="shared" si="9"/>
        <v>-120512.14862996388</v>
      </c>
      <c r="G43" s="6">
        <f t="shared" si="10"/>
        <v>-27399.247782554216</v>
      </c>
      <c r="H43" s="6">
        <f t="shared" si="5"/>
        <v>-5688.8998620199263</v>
      </c>
      <c r="I43" s="6">
        <f t="shared" si="6"/>
        <v>179487.85137003614</v>
      </c>
      <c r="J43" s="6" t="str">
        <f>IF(B43&lt;&gt;"",IF(AND('Input-AF (Avg Insurance) '!$H$17="Annual",MOD(B43,12)=0),'Input-AF (Avg Insurance) '!$J$17,IF(AND('Input-AF (Avg Insurance) '!$H$17="1st Installment",B43=1),'Input-AF (Avg Insurance) '!$J$17,IF('Input-AF (Avg Insurance) '!$H$17="Monthly",'Input-AF (Avg Insurance) '!$J$17,""))),"")</f>
        <v/>
      </c>
      <c r="K43" s="6" t="str">
        <f>IF(B43&lt;&gt;"",IF(AND('Input-AF (Avg Insurance) '!$H$18="Annual",MOD(B43,12)=0),'Input-AF (Avg Insurance) '!$J$18,IF(AND('Input-AF (Avg Insurance) '!$H$18="1st Installment",B43=1),'Input-AF (Avg Insurance) '!$J$18,IF('Input-AF (Avg Insurance) '!$H$18="Monthly",'Input-AF (Avg Insurance) '!$J$18,""))),"")</f>
        <v/>
      </c>
      <c r="L43" s="6">
        <f>IF(B43&lt;=$C$6,(IF(B43&lt;&gt;"",IF(AND('Input-AF (Avg Insurance) '!$H$19="Annual",MOD(B43,12)=0),'Input-AF (Avg Insurance) '!$J$19,IF(AND('Input-AF (Avg Insurance) '!$H$19="1st Installment",B43=1),'Input-AF (Avg Insurance) '!$J$19,IF('Input-AF (Avg Insurance) '!$H$19="Monthly",'Input-AF (Avg Insurance) '!$J$19,""))),""))," ")</f>
        <v>552</v>
      </c>
      <c r="M43" s="6" t="str">
        <f>IF(B43&lt;&gt;"",IF(AND('Input-AF (Avg Insurance) '!$H$20="Annual",MOD(B43,12)=0),'Input-AF (Avg Insurance) '!$J$20,IF(AND('Input-AF (Avg Insurance) '!$H$20="1st Installment",B43=1),'Input-AF (Avg Insurance) '!$J$20,IF('Input-AF (Avg Insurance) '!$H$20="Monthly",'Input-AF (Avg Insurance) '!$J$20,IF(AND('Input-AF (Avg Insurance) '!$H$20="End of the loan",B43='Input-AF (Avg Insurance) '!$E$22),'Input-AF (Avg Insurance) '!$J$20,"")))),"")</f>
        <v/>
      </c>
      <c r="N43" s="6">
        <f t="shared" si="0"/>
        <v>552</v>
      </c>
      <c r="O43" s="4">
        <f t="shared" si="1"/>
        <v>6240.8998620199263</v>
      </c>
      <c r="S43" s="9">
        <f t="shared" si="2"/>
        <v>45347</v>
      </c>
      <c r="T43" s="5">
        <f t="shared" si="7"/>
        <v>6240.9</v>
      </c>
      <c r="V43" s="105"/>
      <c r="W43" s="96"/>
    </row>
    <row r="44" spans="1:23">
      <c r="A44" s="1">
        <f t="shared" si="12"/>
        <v>3</v>
      </c>
      <c r="B44" s="16">
        <f t="shared" si="8"/>
        <v>27</v>
      </c>
      <c r="C44" s="9">
        <f t="shared" si="4"/>
        <v>45376</v>
      </c>
      <c r="D44" s="6">
        <f>IFERROR(PPMT('Input-AF (Avg Insurance) '!$E$18/12,B44,$C$6,'Input-AF (Avg Insurance) '!$E$17,-$C$13,0)," ")</f>
        <v>-4911.1191727497699</v>
      </c>
      <c r="E44" s="6">
        <f>IFERROR(IPMT('Input-AF (Avg Insurance) '!$E$18/12,B44,$C$6,'Input-AF (Avg Insurance) '!$E$17,-$C$13,0)," ")</f>
        <v>-777.78068927015647</v>
      </c>
      <c r="F44" s="6">
        <f t="shared" si="9"/>
        <v>-125423.26780271364</v>
      </c>
      <c r="G44" s="6">
        <f t="shared" si="10"/>
        <v>-28177.028471824371</v>
      </c>
      <c r="H44" s="6">
        <f t="shared" si="5"/>
        <v>-5688.8998620199263</v>
      </c>
      <c r="I44" s="6">
        <f t="shared" si="6"/>
        <v>174576.73219728636</v>
      </c>
      <c r="J44" s="6" t="str">
        <f>IF(B44&lt;&gt;"",IF(AND('Input-AF (Avg Insurance) '!$H$17="Annual",MOD(B44,12)=0),'Input-AF (Avg Insurance) '!$J$17,IF(AND('Input-AF (Avg Insurance) '!$H$17="1st Installment",B44=1),'Input-AF (Avg Insurance) '!$J$17,IF('Input-AF (Avg Insurance) '!$H$17="Monthly",'Input-AF (Avg Insurance) '!$J$17,""))),"")</f>
        <v/>
      </c>
      <c r="K44" s="6" t="str">
        <f>IF(B44&lt;&gt;"",IF(AND('Input-AF (Avg Insurance) '!$H$18="Annual",MOD(B44,12)=0),'Input-AF (Avg Insurance) '!$J$18,IF(AND('Input-AF (Avg Insurance) '!$H$18="1st Installment",B44=1),'Input-AF (Avg Insurance) '!$J$18,IF('Input-AF (Avg Insurance) '!$H$18="Monthly",'Input-AF (Avg Insurance) '!$J$18,""))),"")</f>
        <v/>
      </c>
      <c r="L44" s="6">
        <f>IF(B44&lt;=$C$6,(IF(B44&lt;&gt;"",IF(AND('Input-AF (Avg Insurance) '!$H$19="Annual",MOD(B44,12)=0),'Input-AF (Avg Insurance) '!$J$19,IF(AND('Input-AF (Avg Insurance) '!$H$19="1st Installment",B44=1),'Input-AF (Avg Insurance) '!$J$19,IF('Input-AF (Avg Insurance) '!$H$19="Monthly",'Input-AF (Avg Insurance) '!$J$19,""))),""))," ")</f>
        <v>552</v>
      </c>
      <c r="M44" s="6" t="str">
        <f>IF(B44&lt;&gt;"",IF(AND('Input-AF (Avg Insurance) '!$H$20="Annual",MOD(B44,12)=0),'Input-AF (Avg Insurance) '!$J$20,IF(AND('Input-AF (Avg Insurance) '!$H$20="1st Installment",B44=1),'Input-AF (Avg Insurance) '!$J$20,IF('Input-AF (Avg Insurance) '!$H$20="Monthly",'Input-AF (Avg Insurance) '!$J$20,IF(AND('Input-AF (Avg Insurance) '!$H$20="End of the loan",B44='Input-AF (Avg Insurance) '!$E$22),'Input-AF (Avg Insurance) '!$J$20,"")))),"")</f>
        <v/>
      </c>
      <c r="N44" s="6">
        <f t="shared" si="0"/>
        <v>552</v>
      </c>
      <c r="O44" s="4">
        <f t="shared" si="1"/>
        <v>6240.8998620199263</v>
      </c>
      <c r="S44" s="9">
        <f t="shared" si="2"/>
        <v>45376</v>
      </c>
      <c r="T44" s="5">
        <f t="shared" si="7"/>
        <v>6240.9</v>
      </c>
      <c r="V44" s="105"/>
      <c r="W44" s="96"/>
    </row>
    <row r="45" spans="1:23">
      <c r="A45" s="1">
        <f t="shared" si="12"/>
        <v>3</v>
      </c>
      <c r="B45" s="16">
        <f t="shared" si="8"/>
        <v>28</v>
      </c>
      <c r="C45" s="9">
        <f t="shared" si="4"/>
        <v>45407</v>
      </c>
      <c r="D45" s="6">
        <f>IFERROR(PPMT('Input-AF (Avg Insurance) '!$E$18/12,B45,$C$6,'Input-AF (Avg Insurance) '!$E$17,-$C$13,0)," ")</f>
        <v>-4932.4006891650197</v>
      </c>
      <c r="E45" s="6">
        <f>IFERROR(IPMT('Input-AF (Avg Insurance) '!$E$18/12,B45,$C$6,'Input-AF (Avg Insurance) '!$E$17,-$C$13,0)," ")</f>
        <v>-756.49917285490744</v>
      </c>
      <c r="F45" s="6">
        <f t="shared" si="9"/>
        <v>-130355.66849187866</v>
      </c>
      <c r="G45" s="6">
        <f t="shared" si="10"/>
        <v>-28933.527644679278</v>
      </c>
      <c r="H45" s="6">
        <f t="shared" si="5"/>
        <v>-5688.8998620199272</v>
      </c>
      <c r="I45" s="6">
        <f t="shared" si="6"/>
        <v>169644.33150812134</v>
      </c>
      <c r="J45" s="6" t="str">
        <f>IF(B45&lt;&gt;"",IF(AND('Input-AF (Avg Insurance) '!$H$17="Annual",MOD(B45,12)=0),'Input-AF (Avg Insurance) '!$J$17,IF(AND('Input-AF (Avg Insurance) '!$H$17="1st Installment",B45=1),'Input-AF (Avg Insurance) '!$J$17,IF('Input-AF (Avg Insurance) '!$H$17="Monthly",'Input-AF (Avg Insurance) '!$J$17,""))),"")</f>
        <v/>
      </c>
      <c r="K45" s="6" t="str">
        <f>IF(B45&lt;&gt;"",IF(AND('Input-AF (Avg Insurance) '!$H$18="Annual",MOD(B45,12)=0),'Input-AF (Avg Insurance) '!$J$18,IF(AND('Input-AF (Avg Insurance) '!$H$18="1st Installment",B45=1),'Input-AF (Avg Insurance) '!$J$18,IF('Input-AF (Avg Insurance) '!$H$18="Monthly",'Input-AF (Avg Insurance) '!$J$18,""))),"")</f>
        <v/>
      </c>
      <c r="L45" s="6">
        <f>IF(B45&lt;=$C$6,(IF(B45&lt;&gt;"",IF(AND('Input-AF (Avg Insurance) '!$H$19="Annual",MOD(B45,12)=0),'Input-AF (Avg Insurance) '!$J$19,IF(AND('Input-AF (Avg Insurance) '!$H$19="1st Installment",B45=1),'Input-AF (Avg Insurance) '!$J$19,IF('Input-AF (Avg Insurance) '!$H$19="Monthly",'Input-AF (Avg Insurance) '!$J$19,""))),""))," ")</f>
        <v>552</v>
      </c>
      <c r="M45" s="6" t="str">
        <f>IF(B45&lt;&gt;"",IF(AND('Input-AF (Avg Insurance) '!$H$20="Annual",MOD(B45,12)=0),'Input-AF (Avg Insurance) '!$J$20,IF(AND('Input-AF (Avg Insurance) '!$H$20="1st Installment",B45=1),'Input-AF (Avg Insurance) '!$J$20,IF('Input-AF (Avg Insurance) '!$H$20="Monthly",'Input-AF (Avg Insurance) '!$J$20,IF(AND('Input-AF (Avg Insurance) '!$H$20="End of the loan",B45='Input-AF (Avg Insurance) '!$E$22),'Input-AF (Avg Insurance) '!$J$20,"")))),"")</f>
        <v/>
      </c>
      <c r="N45" s="6">
        <f t="shared" si="0"/>
        <v>552</v>
      </c>
      <c r="O45" s="4">
        <f t="shared" si="1"/>
        <v>6240.8998620199272</v>
      </c>
      <c r="S45" s="9">
        <f t="shared" si="2"/>
        <v>45407</v>
      </c>
      <c r="T45" s="5">
        <f t="shared" si="7"/>
        <v>6240.9</v>
      </c>
      <c r="V45" s="105"/>
      <c r="W45" s="96"/>
    </row>
    <row r="46" spans="1:23">
      <c r="A46" s="1">
        <f t="shared" si="12"/>
        <v>3</v>
      </c>
      <c r="B46" s="16">
        <f t="shared" si="8"/>
        <v>29</v>
      </c>
      <c r="C46" s="9">
        <f t="shared" si="4"/>
        <v>45437</v>
      </c>
      <c r="D46" s="6">
        <f>IFERROR(PPMT('Input-AF (Avg Insurance) '!$E$18/12,B46,$C$6,'Input-AF (Avg Insurance) '!$E$17,-$C$13,0)," ")</f>
        <v>-4953.7744254847339</v>
      </c>
      <c r="E46" s="6">
        <f>IFERROR(IPMT('Input-AF (Avg Insurance) '!$E$18/12,B46,$C$6,'Input-AF (Avg Insurance) '!$E$17,-$C$13,0)," ")</f>
        <v>-735.12543653519242</v>
      </c>
      <c r="F46" s="6">
        <f t="shared" si="9"/>
        <v>-135309.4429173634</v>
      </c>
      <c r="G46" s="6">
        <f t="shared" si="10"/>
        <v>-29668.65308121447</v>
      </c>
      <c r="H46" s="6">
        <f t="shared" si="5"/>
        <v>-5688.8998620199263</v>
      </c>
      <c r="I46" s="6">
        <f t="shared" si="6"/>
        <v>164690.5570826366</v>
      </c>
      <c r="J46" s="6" t="str">
        <f>IF(B46&lt;&gt;"",IF(AND('Input-AF (Avg Insurance) '!$H$17="Annual",MOD(B46,12)=0),'Input-AF (Avg Insurance) '!$J$17,IF(AND('Input-AF (Avg Insurance) '!$H$17="1st Installment",B46=1),'Input-AF (Avg Insurance) '!$J$17,IF('Input-AF (Avg Insurance) '!$H$17="Monthly",'Input-AF (Avg Insurance) '!$J$17,""))),"")</f>
        <v/>
      </c>
      <c r="K46" s="6" t="str">
        <f>IF(B46&lt;&gt;"",IF(AND('Input-AF (Avg Insurance) '!$H$18="Annual",MOD(B46,12)=0),'Input-AF (Avg Insurance) '!$J$18,IF(AND('Input-AF (Avg Insurance) '!$H$18="1st Installment",B46=1),'Input-AF (Avg Insurance) '!$J$18,IF('Input-AF (Avg Insurance) '!$H$18="Monthly",'Input-AF (Avg Insurance) '!$J$18,""))),"")</f>
        <v/>
      </c>
      <c r="L46" s="6">
        <f>IF(B46&lt;=$C$6,(IF(B46&lt;&gt;"",IF(AND('Input-AF (Avg Insurance) '!$H$19="Annual",MOD(B46,12)=0),'Input-AF (Avg Insurance) '!$J$19,IF(AND('Input-AF (Avg Insurance) '!$H$19="1st Installment",B46=1),'Input-AF (Avg Insurance) '!$J$19,IF('Input-AF (Avg Insurance) '!$H$19="Monthly",'Input-AF (Avg Insurance) '!$J$19,""))),""))," ")</f>
        <v>552</v>
      </c>
      <c r="M46" s="6" t="str">
        <f>IF(B46&lt;&gt;"",IF(AND('Input-AF (Avg Insurance) '!$H$20="Annual",MOD(B46,12)=0),'Input-AF (Avg Insurance) '!$J$20,IF(AND('Input-AF (Avg Insurance) '!$H$20="1st Installment",B46=1),'Input-AF (Avg Insurance) '!$J$20,IF('Input-AF (Avg Insurance) '!$H$20="Monthly",'Input-AF (Avg Insurance) '!$J$20,IF(AND('Input-AF (Avg Insurance) '!$H$20="End of the loan",B46='Input-AF (Avg Insurance) '!$E$22),'Input-AF (Avg Insurance) '!$J$20,"")))),"")</f>
        <v/>
      </c>
      <c r="N46" s="6">
        <f t="shared" si="0"/>
        <v>552</v>
      </c>
      <c r="O46" s="4">
        <f t="shared" si="1"/>
        <v>6240.8998620199263</v>
      </c>
      <c r="S46" s="9">
        <f t="shared" si="2"/>
        <v>45437</v>
      </c>
      <c r="T46" s="5">
        <f t="shared" si="7"/>
        <v>6240.9</v>
      </c>
      <c r="V46" s="105"/>
      <c r="W46" s="96"/>
    </row>
    <row r="47" spans="1:23">
      <c r="A47" s="1">
        <f t="shared" si="12"/>
        <v>3</v>
      </c>
      <c r="B47" s="16">
        <f t="shared" si="8"/>
        <v>30</v>
      </c>
      <c r="C47" s="9">
        <f t="shared" si="4"/>
        <v>45468</v>
      </c>
      <c r="D47" s="6">
        <f>IFERROR(PPMT('Input-AF (Avg Insurance) '!$E$18/12,B47,$C$6,'Input-AF (Avg Insurance) '!$E$17,-$C$13,0)," ")</f>
        <v>-4975.2407813285008</v>
      </c>
      <c r="E47" s="6">
        <f>IFERROR(IPMT('Input-AF (Avg Insurance) '!$E$18/12,B47,$C$6,'Input-AF (Avg Insurance) '!$E$17,-$C$13,0)," ")</f>
        <v>-713.65908069142529</v>
      </c>
      <c r="F47" s="6">
        <f t="shared" si="9"/>
        <v>-140284.68369869189</v>
      </c>
      <c r="G47" s="6">
        <f t="shared" si="10"/>
        <v>-30382.312161905895</v>
      </c>
      <c r="H47" s="6">
        <f t="shared" si="5"/>
        <v>-5688.8998620199263</v>
      </c>
      <c r="I47" s="6">
        <f t="shared" si="6"/>
        <v>159715.31630130811</v>
      </c>
      <c r="J47" s="6" t="str">
        <f>IF(B47&lt;&gt;"",IF(AND('Input-AF (Avg Insurance) '!$H$17="Annual",MOD(B47,12)=0),'Input-AF (Avg Insurance) '!$J$17,IF(AND('Input-AF (Avg Insurance) '!$H$17="1st Installment",B47=1),'Input-AF (Avg Insurance) '!$J$17,IF('Input-AF (Avg Insurance) '!$H$17="Monthly",'Input-AF (Avg Insurance) '!$J$17,""))),"")</f>
        <v/>
      </c>
      <c r="K47" s="6" t="str">
        <f>IF(B47&lt;&gt;"",IF(AND('Input-AF (Avg Insurance) '!$H$18="Annual",MOD(B47,12)=0),'Input-AF (Avg Insurance) '!$J$18,IF(AND('Input-AF (Avg Insurance) '!$H$18="1st Installment",B47=1),'Input-AF (Avg Insurance) '!$J$18,IF('Input-AF (Avg Insurance) '!$H$18="Monthly",'Input-AF (Avg Insurance) '!$J$18,""))),"")</f>
        <v/>
      </c>
      <c r="L47" s="6">
        <f>IF(B47&lt;=$C$6,(IF(B47&lt;&gt;"",IF(AND('Input-AF (Avg Insurance) '!$H$19="Annual",MOD(B47,12)=0),'Input-AF (Avg Insurance) '!$J$19,IF(AND('Input-AF (Avg Insurance) '!$H$19="1st Installment",B47=1),'Input-AF (Avg Insurance) '!$J$19,IF('Input-AF (Avg Insurance) '!$H$19="Monthly",'Input-AF (Avg Insurance) '!$J$19,""))),""))," ")</f>
        <v>552</v>
      </c>
      <c r="M47" s="6" t="str">
        <f>IF(B47&lt;&gt;"",IF(AND('Input-AF (Avg Insurance) '!$H$20="Annual",MOD(B47,12)=0),'Input-AF (Avg Insurance) '!$J$20,IF(AND('Input-AF (Avg Insurance) '!$H$20="1st Installment",B47=1),'Input-AF (Avg Insurance) '!$J$20,IF('Input-AF (Avg Insurance) '!$H$20="Monthly",'Input-AF (Avg Insurance) '!$J$20,IF(AND('Input-AF (Avg Insurance) '!$H$20="End of the loan",B47='Input-AF (Avg Insurance) '!$E$22),'Input-AF (Avg Insurance) '!$J$20,"")))),"")</f>
        <v/>
      </c>
      <c r="N47" s="6">
        <f t="shared" si="0"/>
        <v>552</v>
      </c>
      <c r="O47" s="4">
        <f t="shared" si="1"/>
        <v>6240.8998620199263</v>
      </c>
      <c r="S47" s="9">
        <f t="shared" si="2"/>
        <v>45468</v>
      </c>
      <c r="T47" s="5">
        <f t="shared" si="7"/>
        <v>6240.9</v>
      </c>
      <c r="V47" s="105"/>
      <c r="W47" s="96"/>
    </row>
    <row r="48" spans="1:23">
      <c r="A48" s="1">
        <f t="shared" si="12"/>
        <v>3</v>
      </c>
      <c r="B48" s="16">
        <f t="shared" si="8"/>
        <v>31</v>
      </c>
      <c r="C48" s="9">
        <f t="shared" si="4"/>
        <v>45498</v>
      </c>
      <c r="D48" s="6">
        <f>IFERROR(PPMT('Input-AF (Avg Insurance) '!$E$18/12,B48,$C$6,'Input-AF (Avg Insurance) '!$E$17,-$C$13,0)," ")</f>
        <v>-4996.800158047592</v>
      </c>
      <c r="E48" s="6">
        <f>IFERROR(IPMT('Input-AF (Avg Insurance) '!$E$18/12,B48,$C$6,'Input-AF (Avg Insurance) '!$E$17,-$C$13,0)," ")</f>
        <v>-692.09970397233508</v>
      </c>
      <c r="F48" s="6">
        <f t="shared" si="9"/>
        <v>-145281.48385673948</v>
      </c>
      <c r="G48" s="6">
        <f t="shared" si="10"/>
        <v>-31074.411865878228</v>
      </c>
      <c r="H48" s="6">
        <f t="shared" si="5"/>
        <v>-5688.8998620199272</v>
      </c>
      <c r="I48" s="6">
        <f t="shared" si="6"/>
        <v>154718.51614326052</v>
      </c>
      <c r="J48" s="6" t="str">
        <f>IF(B48&lt;&gt;"",IF(AND('Input-AF (Avg Insurance) '!$H$17="Annual",MOD(B48,12)=0),'Input-AF (Avg Insurance) '!$J$17,IF(AND('Input-AF (Avg Insurance) '!$H$17="1st Installment",B48=1),'Input-AF (Avg Insurance) '!$J$17,IF('Input-AF (Avg Insurance) '!$H$17="Monthly",'Input-AF (Avg Insurance) '!$J$17,""))),"")</f>
        <v/>
      </c>
      <c r="K48" s="6" t="str">
        <f>IF(B48&lt;&gt;"",IF(AND('Input-AF (Avg Insurance) '!$H$18="Annual",MOD(B48,12)=0),'Input-AF (Avg Insurance) '!$J$18,IF(AND('Input-AF (Avg Insurance) '!$H$18="1st Installment",B48=1),'Input-AF (Avg Insurance) '!$J$18,IF('Input-AF (Avg Insurance) '!$H$18="Monthly",'Input-AF (Avg Insurance) '!$J$18,""))),"")</f>
        <v/>
      </c>
      <c r="L48" s="6">
        <f>IF(B48&lt;=$C$6,(IF(B48&lt;&gt;"",IF(AND('Input-AF (Avg Insurance) '!$H$19="Annual",MOD(B48,12)=0),'Input-AF (Avg Insurance) '!$J$19,IF(AND('Input-AF (Avg Insurance) '!$H$19="1st Installment",B48=1),'Input-AF (Avg Insurance) '!$J$19,IF('Input-AF (Avg Insurance) '!$H$19="Monthly",'Input-AF (Avg Insurance) '!$J$19,""))),""))," ")</f>
        <v>552</v>
      </c>
      <c r="M48" s="6" t="str">
        <f>IF(B48&lt;&gt;"",IF(AND('Input-AF (Avg Insurance) '!$H$20="Annual",MOD(B48,12)=0),'Input-AF (Avg Insurance) '!$J$20,IF(AND('Input-AF (Avg Insurance) '!$H$20="1st Installment",B48=1),'Input-AF (Avg Insurance) '!$J$20,IF('Input-AF (Avg Insurance) '!$H$20="Monthly",'Input-AF (Avg Insurance) '!$J$20,IF(AND('Input-AF (Avg Insurance) '!$H$20="End of the loan",B48='Input-AF (Avg Insurance) '!$E$22),'Input-AF (Avg Insurance) '!$J$20,"")))),"")</f>
        <v/>
      </c>
      <c r="N48" s="6">
        <f t="shared" si="0"/>
        <v>552</v>
      </c>
      <c r="O48" s="4">
        <f t="shared" si="1"/>
        <v>6240.8998620199272</v>
      </c>
      <c r="S48" s="9">
        <f t="shared" si="2"/>
        <v>45498</v>
      </c>
      <c r="T48" s="5">
        <f t="shared" si="7"/>
        <v>6240.9</v>
      </c>
      <c r="V48" s="105"/>
    </row>
    <row r="49" spans="1:22">
      <c r="A49" s="1">
        <f t="shared" si="12"/>
        <v>3</v>
      </c>
      <c r="B49" s="16">
        <f t="shared" si="8"/>
        <v>32</v>
      </c>
      <c r="C49" s="9">
        <f t="shared" si="4"/>
        <v>45529</v>
      </c>
      <c r="D49" s="6">
        <f>IFERROR(PPMT('Input-AF (Avg Insurance) '!$E$18/12,B49,$C$6,'Input-AF (Avg Insurance) '!$E$17,-$C$13,0)," ")</f>
        <v>-5018.4529587324641</v>
      </c>
      <c r="E49" s="6">
        <f>IFERROR(IPMT('Input-AF (Avg Insurance) '!$E$18/12,B49,$C$6,'Input-AF (Avg Insurance) '!$E$17,-$C$13,0)," ")</f>
        <v>-670.44690328746219</v>
      </c>
      <c r="F49" s="6">
        <f t="shared" si="9"/>
        <v>-150299.93681547194</v>
      </c>
      <c r="G49" s="6">
        <f t="shared" si="10"/>
        <v>-31744.85876916569</v>
      </c>
      <c r="H49" s="6">
        <f t="shared" si="5"/>
        <v>-5688.8998620199263</v>
      </c>
      <c r="I49" s="6">
        <f t="shared" si="6"/>
        <v>149700.06318452806</v>
      </c>
      <c r="J49" s="6" t="str">
        <f>IF(B49&lt;&gt;"",IF(AND('Input-AF (Avg Insurance) '!$H$17="Annual",MOD(B49,12)=0),'Input-AF (Avg Insurance) '!$J$17,IF(AND('Input-AF (Avg Insurance) '!$H$17="1st Installment",B49=1),'Input-AF (Avg Insurance) '!$J$17,IF('Input-AF (Avg Insurance) '!$H$17="Monthly",'Input-AF (Avg Insurance) '!$J$17,""))),"")</f>
        <v/>
      </c>
      <c r="K49" s="6" t="str">
        <f>IF(B49&lt;&gt;"",IF(AND('Input-AF (Avg Insurance) '!$H$18="Annual",MOD(B49,12)=0),'Input-AF (Avg Insurance) '!$J$18,IF(AND('Input-AF (Avg Insurance) '!$H$18="1st Installment",B49=1),'Input-AF (Avg Insurance) '!$J$18,IF('Input-AF (Avg Insurance) '!$H$18="Monthly",'Input-AF (Avg Insurance) '!$J$18,""))),"")</f>
        <v/>
      </c>
      <c r="L49" s="6">
        <f>IF(B49&lt;=$C$6,(IF(B49&lt;&gt;"",IF(AND('Input-AF (Avg Insurance) '!$H$19="Annual",MOD(B49,12)=0),'Input-AF (Avg Insurance) '!$J$19,IF(AND('Input-AF (Avg Insurance) '!$H$19="1st Installment",B49=1),'Input-AF (Avg Insurance) '!$J$19,IF('Input-AF (Avg Insurance) '!$H$19="Monthly",'Input-AF (Avg Insurance) '!$J$19,""))),""))," ")</f>
        <v>552</v>
      </c>
      <c r="M49" s="6" t="str">
        <f>IF(B49&lt;&gt;"",IF(AND('Input-AF (Avg Insurance) '!$H$20="Annual",MOD(B49,12)=0),'Input-AF (Avg Insurance) '!$J$20,IF(AND('Input-AF (Avg Insurance) '!$H$20="1st Installment",B49=1),'Input-AF (Avg Insurance) '!$J$20,IF('Input-AF (Avg Insurance) '!$H$20="Monthly",'Input-AF (Avg Insurance) '!$J$20,IF(AND('Input-AF (Avg Insurance) '!$H$20="End of the loan",B49='Input-AF (Avg Insurance) '!$E$22),'Input-AF (Avg Insurance) '!$J$20,"")))),"")</f>
        <v/>
      </c>
      <c r="N49" s="6">
        <f t="shared" ref="N49:N77" si="13">IF(B49&lt;&gt;"",SUM(J49:M49),"")</f>
        <v>552</v>
      </c>
      <c r="O49" s="4">
        <f t="shared" si="1"/>
        <v>6240.8998620199263</v>
      </c>
      <c r="S49" s="9">
        <f t="shared" si="2"/>
        <v>45529</v>
      </c>
      <c r="T49" s="5">
        <f t="shared" si="7"/>
        <v>6240.9</v>
      </c>
      <c r="V49" s="105"/>
    </row>
    <row r="50" spans="1:22">
      <c r="A50" s="1">
        <f t="shared" si="12"/>
        <v>3</v>
      </c>
      <c r="B50" s="16">
        <f t="shared" si="8"/>
        <v>33</v>
      </c>
      <c r="C50" s="9">
        <f t="shared" si="4"/>
        <v>45560</v>
      </c>
      <c r="D50" s="6">
        <f>IFERROR(PPMT('Input-AF (Avg Insurance) '!$E$18/12,B50,$C$6,'Input-AF (Avg Insurance) '!$E$17,-$C$13,0)," ")</f>
        <v>-5040.1995882203055</v>
      </c>
      <c r="E50" s="6">
        <f>IFERROR(IPMT('Input-AF (Avg Insurance) '!$E$18/12,B50,$C$6,'Input-AF (Avg Insurance) '!$E$17,-$C$13,0)," ")</f>
        <v>-648.70027379962141</v>
      </c>
      <c r="F50" s="6">
        <f t="shared" si="9"/>
        <v>-155340.13640369225</v>
      </c>
      <c r="G50" s="6">
        <f t="shared" si="10"/>
        <v>-32393.559042965313</v>
      </c>
      <c r="H50" s="6">
        <f t="shared" si="5"/>
        <v>-5688.8998620199272</v>
      </c>
      <c r="I50" s="6">
        <f t="shared" si="6"/>
        <v>144659.86359630775</v>
      </c>
      <c r="J50" s="6" t="str">
        <f>IF(B50&lt;&gt;"",IF(AND('Input-AF (Avg Insurance) '!$H$17="Annual",MOD(B50,12)=0),'Input-AF (Avg Insurance) '!$J$17,IF(AND('Input-AF (Avg Insurance) '!$H$17="1st Installment",B50=1),'Input-AF (Avg Insurance) '!$J$17,IF('Input-AF (Avg Insurance) '!$H$17="Monthly",'Input-AF (Avg Insurance) '!$J$17,""))),"")</f>
        <v/>
      </c>
      <c r="K50" s="6" t="str">
        <f>IF(B50&lt;&gt;"",IF(AND('Input-AF (Avg Insurance) '!$H$18="Annual",MOD(B50,12)=0),'Input-AF (Avg Insurance) '!$J$18,IF(AND('Input-AF (Avg Insurance) '!$H$18="1st Installment",B50=1),'Input-AF (Avg Insurance) '!$J$18,IF('Input-AF (Avg Insurance) '!$H$18="Monthly",'Input-AF (Avg Insurance) '!$J$18,""))),"")</f>
        <v/>
      </c>
      <c r="L50" s="6">
        <f>IF(B50&lt;=$C$6,(IF(B50&lt;&gt;"",IF(AND('Input-AF (Avg Insurance) '!$H$19="Annual",MOD(B50,12)=0),'Input-AF (Avg Insurance) '!$J$19,IF(AND('Input-AF (Avg Insurance) '!$H$19="1st Installment",B50=1),'Input-AF (Avg Insurance) '!$J$19,IF('Input-AF (Avg Insurance) '!$H$19="Monthly",'Input-AF (Avg Insurance) '!$J$19,""))),""))," ")</f>
        <v>552</v>
      </c>
      <c r="M50" s="6" t="str">
        <f>IF(B50&lt;&gt;"",IF(AND('Input-AF (Avg Insurance) '!$H$20="Annual",MOD(B50,12)=0),'Input-AF (Avg Insurance) '!$J$20,IF(AND('Input-AF (Avg Insurance) '!$H$20="1st Installment",B50=1),'Input-AF (Avg Insurance) '!$J$20,IF('Input-AF (Avg Insurance) '!$H$20="Monthly",'Input-AF (Avg Insurance) '!$J$20,IF(AND('Input-AF (Avg Insurance) '!$H$20="End of the loan",B50='Input-AF (Avg Insurance) '!$E$22),'Input-AF (Avg Insurance) '!$J$20,"")))),"")</f>
        <v/>
      </c>
      <c r="N50" s="6">
        <f t="shared" si="13"/>
        <v>552</v>
      </c>
      <c r="O50" s="4">
        <f t="shared" si="1"/>
        <v>6240.8998620199272</v>
      </c>
      <c r="S50" s="9">
        <f t="shared" si="2"/>
        <v>45560</v>
      </c>
      <c r="T50" s="5">
        <f t="shared" si="7"/>
        <v>6240.9</v>
      </c>
      <c r="V50" s="105"/>
    </row>
    <row r="51" spans="1:22">
      <c r="A51" s="1">
        <f t="shared" si="12"/>
        <v>3</v>
      </c>
      <c r="B51" s="16">
        <f t="shared" si="8"/>
        <v>34</v>
      </c>
      <c r="C51" s="9">
        <f t="shared" si="4"/>
        <v>45590</v>
      </c>
      <c r="D51" s="6">
        <f>IFERROR(PPMT('Input-AF (Avg Insurance) '!$E$18/12,B51,$C$6,'Input-AF (Avg Insurance) '!$E$17,-$C$13,0)," ")</f>
        <v>-5062.0404531025933</v>
      </c>
      <c r="E51" s="6">
        <f>IFERROR(IPMT('Input-AF (Avg Insurance) '!$E$18/12,B51,$C$6,'Input-AF (Avg Insurance) '!$E$17,-$C$13,0)," ")</f>
        <v>-626.85940891733344</v>
      </c>
      <c r="F51" s="6">
        <f t="shared" si="9"/>
        <v>-160402.17685679483</v>
      </c>
      <c r="G51" s="6">
        <f t="shared" si="10"/>
        <v>-33020.418451882644</v>
      </c>
      <c r="H51" s="6">
        <f t="shared" si="5"/>
        <v>-5688.8998620199272</v>
      </c>
      <c r="I51" s="6">
        <f t="shared" si="6"/>
        <v>139597.82314320517</v>
      </c>
      <c r="J51" s="6" t="str">
        <f>IF(B51&lt;&gt;"",IF(AND('Input-AF (Avg Insurance) '!$H$17="Annual",MOD(B51,12)=0),'Input-AF (Avg Insurance) '!$J$17,IF(AND('Input-AF (Avg Insurance) '!$H$17="1st Installment",B51=1),'Input-AF (Avg Insurance) '!$J$17,IF('Input-AF (Avg Insurance) '!$H$17="Monthly",'Input-AF (Avg Insurance) '!$J$17,""))),"")</f>
        <v/>
      </c>
      <c r="K51" s="6" t="str">
        <f>IF(B51&lt;&gt;"",IF(AND('Input-AF (Avg Insurance) '!$H$18="Annual",MOD(B51,12)=0),'Input-AF (Avg Insurance) '!$J$18,IF(AND('Input-AF (Avg Insurance) '!$H$18="1st Installment",B51=1),'Input-AF (Avg Insurance) '!$J$18,IF('Input-AF (Avg Insurance) '!$H$18="Monthly",'Input-AF (Avg Insurance) '!$J$18,""))),"")</f>
        <v/>
      </c>
      <c r="L51" s="6">
        <f>IF(B51&lt;=$C$6,(IF(B51&lt;&gt;"",IF(AND('Input-AF (Avg Insurance) '!$H$19="Annual",MOD(B51,12)=0),'Input-AF (Avg Insurance) '!$J$19,IF(AND('Input-AF (Avg Insurance) '!$H$19="1st Installment",B51=1),'Input-AF (Avg Insurance) '!$J$19,IF('Input-AF (Avg Insurance) '!$H$19="Monthly",'Input-AF (Avg Insurance) '!$J$19,""))),""))," ")</f>
        <v>552</v>
      </c>
      <c r="M51" s="6" t="str">
        <f>IF(B51&lt;&gt;"",IF(AND('Input-AF (Avg Insurance) '!$H$20="Annual",MOD(B51,12)=0),'Input-AF (Avg Insurance) '!$J$20,IF(AND('Input-AF (Avg Insurance) '!$H$20="1st Installment",B51=1),'Input-AF (Avg Insurance) '!$J$20,IF('Input-AF (Avg Insurance) '!$H$20="Monthly",'Input-AF (Avg Insurance) '!$J$20,IF(AND('Input-AF (Avg Insurance) '!$H$20="End of the loan",B51='Input-AF (Avg Insurance) '!$E$22),'Input-AF (Avg Insurance) '!$J$20,"")))),"")</f>
        <v/>
      </c>
      <c r="N51" s="6">
        <f t="shared" si="13"/>
        <v>552</v>
      </c>
      <c r="O51" s="4">
        <f t="shared" si="1"/>
        <v>6240.8998620199272</v>
      </c>
      <c r="S51" s="9">
        <f t="shared" si="2"/>
        <v>45590</v>
      </c>
      <c r="T51" s="5">
        <f t="shared" si="7"/>
        <v>6240.9</v>
      </c>
      <c r="V51" s="105"/>
    </row>
    <row r="52" spans="1:22">
      <c r="A52" s="1">
        <f t="shared" si="12"/>
        <v>3</v>
      </c>
      <c r="B52" s="16">
        <f t="shared" si="8"/>
        <v>35</v>
      </c>
      <c r="C52" s="9">
        <f t="shared" si="4"/>
        <v>45621</v>
      </c>
      <c r="D52" s="6">
        <f>IFERROR(PPMT('Input-AF (Avg Insurance) '!$E$18/12,B52,$C$6,'Input-AF (Avg Insurance) '!$E$17,-$C$13,0)," ")</f>
        <v>-5083.9759617327045</v>
      </c>
      <c r="E52" s="6">
        <f>IFERROR(IPMT('Input-AF (Avg Insurance) '!$E$18/12,B52,$C$6,'Input-AF (Avg Insurance) '!$E$17,-$C$13,0)," ")</f>
        <v>-604.9239002872223</v>
      </c>
      <c r="F52" s="6">
        <f t="shared" si="9"/>
        <v>-165486.15281852754</v>
      </c>
      <c r="G52" s="6">
        <f t="shared" si="10"/>
        <v>-33625.342352169864</v>
      </c>
      <c r="H52" s="6">
        <f t="shared" si="5"/>
        <v>-5688.8998620199272</v>
      </c>
      <c r="I52" s="6">
        <f t="shared" si="6"/>
        <v>134513.84718147246</v>
      </c>
      <c r="J52" s="6" t="str">
        <f>IF(B52&lt;&gt;"",IF(AND('Input-AF (Avg Insurance) '!$H$17="Annual",MOD(B52,12)=0),'Input-AF (Avg Insurance) '!$J$17,IF(AND('Input-AF (Avg Insurance) '!$H$17="1st Installment",B52=1),'Input-AF (Avg Insurance) '!$J$17,IF('Input-AF (Avg Insurance) '!$H$17="Monthly",'Input-AF (Avg Insurance) '!$J$17,""))),"")</f>
        <v/>
      </c>
      <c r="K52" s="6" t="str">
        <f>IF(B52&lt;&gt;"",IF(AND('Input-AF (Avg Insurance) '!$H$18="Annual",MOD(B52,12)=0),'Input-AF (Avg Insurance) '!$J$18,IF(AND('Input-AF (Avg Insurance) '!$H$18="1st Installment",B52=1),'Input-AF (Avg Insurance) '!$J$18,IF('Input-AF (Avg Insurance) '!$H$18="Monthly",'Input-AF (Avg Insurance) '!$J$18,""))),"")</f>
        <v/>
      </c>
      <c r="L52" s="6">
        <f>IF(B52&lt;=$C$6,(IF(B52&lt;&gt;"",IF(AND('Input-AF (Avg Insurance) '!$H$19="Annual",MOD(B52,12)=0),'Input-AF (Avg Insurance) '!$J$19,IF(AND('Input-AF (Avg Insurance) '!$H$19="1st Installment",B52=1),'Input-AF (Avg Insurance) '!$J$19,IF('Input-AF (Avg Insurance) '!$H$19="Monthly",'Input-AF (Avg Insurance) '!$J$19,""))),""))," ")</f>
        <v>552</v>
      </c>
      <c r="M52" s="6" t="str">
        <f>IF(B52&lt;&gt;"",IF(AND('Input-AF (Avg Insurance) '!$H$20="Annual",MOD(B52,12)=0),'Input-AF (Avg Insurance) '!$J$20,IF(AND('Input-AF (Avg Insurance) '!$H$20="1st Installment",B52=1),'Input-AF (Avg Insurance) '!$J$20,IF('Input-AF (Avg Insurance) '!$H$20="Monthly",'Input-AF (Avg Insurance) '!$J$20,IF(AND('Input-AF (Avg Insurance) '!$H$20="End of the loan",B52='Input-AF (Avg Insurance) '!$E$22),'Input-AF (Avg Insurance) '!$J$20,"")))),"")</f>
        <v/>
      </c>
      <c r="N52" s="6">
        <f t="shared" si="13"/>
        <v>552</v>
      </c>
      <c r="O52" s="4">
        <f t="shared" si="1"/>
        <v>6240.8998620199272</v>
      </c>
      <c r="S52" s="9">
        <f t="shared" si="2"/>
        <v>45621</v>
      </c>
      <c r="T52" s="5">
        <f t="shared" si="7"/>
        <v>6240.9</v>
      </c>
      <c r="V52" s="105"/>
    </row>
    <row r="53" spans="1:22">
      <c r="A53" s="1">
        <f t="shared" si="12"/>
        <v>3</v>
      </c>
      <c r="B53" s="16">
        <f t="shared" si="8"/>
        <v>36</v>
      </c>
      <c r="C53" s="9">
        <f>IF(B53="","",EDATE(C52,1))</f>
        <v>45651</v>
      </c>
      <c r="D53" s="6">
        <f>IFERROR(PPMT('Input-AF (Avg Insurance) '!$E$18/12,B53,$C$6,'Input-AF (Avg Insurance) '!$E$17,-$C$13,0)," ")</f>
        <v>-5106.0065242335459</v>
      </c>
      <c r="E53" s="6">
        <f>IFERROR(IPMT('Input-AF (Avg Insurance) '!$E$18/12,B53,$C$6,'Input-AF (Avg Insurance) '!$E$17,-$C$13,0)," ")</f>
        <v>-582.89333778638047</v>
      </c>
      <c r="F53" s="6">
        <f t="shared" si="9"/>
        <v>-170592.15934276109</v>
      </c>
      <c r="G53" s="6">
        <f t="shared" si="10"/>
        <v>-34208.235689956244</v>
      </c>
      <c r="H53" s="6">
        <f t="shared" si="5"/>
        <v>-5688.8998620199263</v>
      </c>
      <c r="I53" s="6">
        <f t="shared" si="6"/>
        <v>129407.84065723891</v>
      </c>
      <c r="J53" s="6" t="str">
        <f>IF(B53&lt;&gt;"",IF(AND('Input-AF (Avg Insurance) '!$H$17="Annual",MOD(B53,12)=0),'Input-AF (Avg Insurance) '!$J$17,IF(AND('Input-AF (Avg Insurance) '!$H$17="1st Installment",B53=1),'Input-AF (Avg Insurance) '!$J$17,IF('Input-AF (Avg Insurance) '!$H$17="Monthly",'Input-AF (Avg Insurance) '!$J$17,""))),"")</f>
        <v/>
      </c>
      <c r="K53" s="6" t="str">
        <f>IF(B53&lt;&gt;"",IF(AND('Input-AF (Avg Insurance) '!$H$18="Annual",MOD(B53,12)=0),'Input-AF (Avg Insurance) '!$J$18,IF(AND('Input-AF (Avg Insurance) '!$H$18="1st Installment",B53=1),'Input-AF (Avg Insurance) '!$J$18,IF('Input-AF (Avg Insurance) '!$H$18="Monthly",'Input-AF (Avg Insurance) '!$J$18,""))),"")</f>
        <v/>
      </c>
      <c r="L53" s="6">
        <f>IF(B53&lt;=$C$6,(IF(B53&lt;&gt;"",IF(AND('Input-AF (Avg Insurance) '!$H$19="Annual",MOD(B53,12)=0),'Input-AF (Avg Insurance) '!$J$19,IF(AND('Input-AF (Avg Insurance) '!$H$19="1st Installment",B53=1),'Input-AF (Avg Insurance) '!$J$19,IF('Input-AF (Avg Insurance) '!$H$19="Monthly",'Input-AF (Avg Insurance) '!$J$19,""))),""))," ")</f>
        <v>552</v>
      </c>
      <c r="M53" s="6" t="str">
        <f>IF(B53&lt;&gt;"",IF(AND('Input-AF (Avg Insurance) '!$H$20="Annual",MOD(B53,12)=0),'Input-AF (Avg Insurance) '!$J$20,IF(AND('Input-AF (Avg Insurance) '!$H$20="1st Installment",B53=1),'Input-AF (Avg Insurance) '!$J$20,IF('Input-AF (Avg Insurance) '!$H$20="Monthly",'Input-AF (Avg Insurance) '!$J$20,IF(AND('Input-AF (Avg Insurance) '!$H$20="End of the loan",B53='Input-AF (Avg Insurance) '!$E$22),'Input-AF (Avg Insurance) '!$J$20,"")))),"")</f>
        <v/>
      </c>
      <c r="N53" s="6">
        <f t="shared" si="13"/>
        <v>552</v>
      </c>
      <c r="O53" s="4">
        <f t="shared" si="1"/>
        <v>6240.8998620199263</v>
      </c>
      <c r="S53" s="9">
        <f t="shared" si="2"/>
        <v>45651</v>
      </c>
      <c r="T53" s="5">
        <f t="shared" si="7"/>
        <v>6240.9</v>
      </c>
      <c r="V53" s="105"/>
    </row>
    <row r="54" spans="1:22">
      <c r="A54" s="1">
        <f>IF(B54&lt;&gt;"",4,"")</f>
        <v>4</v>
      </c>
      <c r="B54" s="16">
        <f t="shared" si="8"/>
        <v>37</v>
      </c>
      <c r="C54" s="9">
        <f t="shared" ref="C54:C82" si="14">IF(B54="","",EDATE(C53,1))</f>
        <v>45682</v>
      </c>
      <c r="D54" s="6">
        <f>IFERROR(PPMT('Input-AF (Avg Insurance) '!$E$18/12,B54,$C$6,'Input-AF (Avg Insurance) '!$E$17,-$C$13,0)," ")</f>
        <v>-5128.1325525052252</v>
      </c>
      <c r="E54" s="6">
        <f>IFERROR(IPMT('Input-AF (Avg Insurance) '!$E$18/12,B54,$C$6,'Input-AF (Avg Insurance) '!$E$17,-$C$13,0)," ")</f>
        <v>-560.76730951470176</v>
      </c>
      <c r="F54" s="6">
        <f t="shared" si="9"/>
        <v>-175720.29189526633</v>
      </c>
      <c r="G54" s="6">
        <f t="shared" si="10"/>
        <v>-34769.002999470948</v>
      </c>
      <c r="H54" s="6">
        <f t="shared" si="5"/>
        <v>-5688.8998620199272</v>
      </c>
      <c r="I54" s="6">
        <f t="shared" si="6"/>
        <v>124279.70810473367</v>
      </c>
      <c r="J54" s="6" t="str">
        <f>IF(B54&lt;&gt;"",IF(AND('Input-AF (Avg Insurance) '!$H$17="Annual",MOD(B54,12)=0),'Input-AF (Avg Insurance) '!$J$17,IF(AND('Input-AF (Avg Insurance) '!$H$17="1st Installment",B54=1),'Input-AF (Avg Insurance) '!$J$17,IF('Input-AF (Avg Insurance) '!$H$17="Monthly",'Input-AF (Avg Insurance) '!$J$17,""))),"")</f>
        <v/>
      </c>
      <c r="K54" s="6" t="str">
        <f>IF(B54&lt;&gt;"",IF(AND('Input-AF (Avg Insurance) '!$H$18="Annual",MOD(B54,12)=0),'Input-AF (Avg Insurance) '!$J$18,IF(AND('Input-AF (Avg Insurance) '!$H$18="1st Installment",B54=1),'Input-AF (Avg Insurance) '!$J$18,IF('Input-AF (Avg Insurance) '!$H$18="Monthly",'Input-AF (Avg Insurance) '!$J$18,""))),"")</f>
        <v/>
      </c>
      <c r="L54" s="6">
        <f>IF(B54&lt;=$C$6,(IF(B54&lt;&gt;"",IF(AND('Input-AF (Avg Insurance) '!$H$19="Annual",MOD(B54,12)=0),'Input-AF (Avg Insurance) '!$J$19,IF(AND('Input-AF (Avg Insurance) '!$H$19="1st Installment",B54=1),'Input-AF (Avg Insurance) '!$J$19,IF('Input-AF (Avg Insurance) '!$H$19="Monthly",'Input-AF (Avg Insurance) '!$J$19,""))),""))," ")</f>
        <v>552</v>
      </c>
      <c r="M54" s="6" t="str">
        <f>IF(B54&lt;&gt;"",IF(AND('Input-AF (Avg Insurance) '!$H$20="Annual",MOD(B54,12)=0),'Input-AF (Avg Insurance) '!$J$20,IF(AND('Input-AF (Avg Insurance) '!$H$20="1st Installment",B54=1),'Input-AF (Avg Insurance) '!$J$20,IF('Input-AF (Avg Insurance) '!$H$20="Monthly",'Input-AF (Avg Insurance) '!$J$20,IF(AND('Input-AF (Avg Insurance) '!$H$20="End of the loan",B54='Input-AF (Avg Insurance) '!$E$22),'Input-AF (Avg Insurance) '!$J$20,"")))),"")</f>
        <v/>
      </c>
      <c r="N54" s="6">
        <f t="shared" si="13"/>
        <v>552</v>
      </c>
      <c r="O54" s="4">
        <f t="shared" si="1"/>
        <v>6240.8998620199272</v>
      </c>
      <c r="S54" s="9">
        <f t="shared" si="2"/>
        <v>45682</v>
      </c>
      <c r="T54" s="5">
        <f t="shared" si="7"/>
        <v>6240.9</v>
      </c>
      <c r="V54" s="105"/>
    </row>
    <row r="55" spans="1:22">
      <c r="A55" s="1">
        <f t="shared" ref="A55:A65" si="15">IF(B55&lt;&gt;"",4,"")</f>
        <v>4</v>
      </c>
      <c r="B55" s="16">
        <f t="shared" si="8"/>
        <v>38</v>
      </c>
      <c r="C55" s="9">
        <f t="shared" si="14"/>
        <v>45713</v>
      </c>
      <c r="D55" s="6">
        <f>IFERROR(PPMT('Input-AF (Avg Insurance) '!$E$18/12,B55,$C$6,'Input-AF (Avg Insurance) '!$E$17,-$C$13,0)," ")</f>
        <v>-5150.3544602327474</v>
      </c>
      <c r="E55" s="6">
        <f>IFERROR(IPMT('Input-AF (Avg Insurance) '!$E$18/12,B55,$C$6,'Input-AF (Avg Insurance) '!$E$17,-$C$13,0)," ")</f>
        <v>-538.54540178717923</v>
      </c>
      <c r="F55" s="6">
        <f t="shared" si="9"/>
        <v>-180870.64635549908</v>
      </c>
      <c r="G55" s="6">
        <f t="shared" si="10"/>
        <v>-35307.548401258129</v>
      </c>
      <c r="H55" s="6">
        <f t="shared" si="5"/>
        <v>-5688.8998620199263</v>
      </c>
      <c r="I55" s="6">
        <f t="shared" si="6"/>
        <v>119129.35364450092</v>
      </c>
      <c r="J55" s="6" t="str">
        <f>IF(B55&lt;&gt;"",IF(AND('Input-AF (Avg Insurance) '!$H$17="Annual",MOD(B55,12)=0),'Input-AF (Avg Insurance) '!$J$17,IF(AND('Input-AF (Avg Insurance) '!$H$17="1st Installment",B55=1),'Input-AF (Avg Insurance) '!$J$17,IF('Input-AF (Avg Insurance) '!$H$17="Monthly",'Input-AF (Avg Insurance) '!$J$17,""))),"")</f>
        <v/>
      </c>
      <c r="K55" s="6" t="str">
        <f>IF(B55&lt;&gt;"",IF(AND('Input-AF (Avg Insurance) '!$H$18="Annual",MOD(B55,12)=0),'Input-AF (Avg Insurance) '!$J$18,IF(AND('Input-AF (Avg Insurance) '!$H$18="1st Installment",B55=1),'Input-AF (Avg Insurance) '!$J$18,IF('Input-AF (Avg Insurance) '!$H$18="Monthly",'Input-AF (Avg Insurance) '!$J$18,""))),"")</f>
        <v/>
      </c>
      <c r="L55" s="6">
        <f>IF(B55&lt;=$C$6,(IF(B55&lt;&gt;"",IF(AND('Input-AF (Avg Insurance) '!$H$19="Annual",MOD(B55,12)=0),'Input-AF (Avg Insurance) '!$J$19,IF(AND('Input-AF (Avg Insurance) '!$H$19="1st Installment",B55=1),'Input-AF (Avg Insurance) '!$J$19,IF('Input-AF (Avg Insurance) '!$H$19="Monthly",'Input-AF (Avg Insurance) '!$J$19,""))),""))," ")</f>
        <v>552</v>
      </c>
      <c r="M55" s="6" t="str">
        <f>IF(B55&lt;&gt;"",IF(AND('Input-AF (Avg Insurance) '!$H$20="Annual",MOD(B55,12)=0),'Input-AF (Avg Insurance) '!$J$20,IF(AND('Input-AF (Avg Insurance) '!$H$20="1st Installment",B55=1),'Input-AF (Avg Insurance) '!$J$20,IF('Input-AF (Avg Insurance) '!$H$20="Monthly",'Input-AF (Avg Insurance) '!$J$20,IF(AND('Input-AF (Avg Insurance) '!$H$20="End of the loan",B55='Input-AF (Avg Insurance) '!$E$22),'Input-AF (Avg Insurance) '!$J$20,"")))),"")</f>
        <v/>
      </c>
      <c r="N55" s="6">
        <f t="shared" si="13"/>
        <v>552</v>
      </c>
      <c r="O55" s="4">
        <f t="shared" si="1"/>
        <v>6240.8998620199263</v>
      </c>
      <c r="S55" s="9">
        <f t="shared" si="2"/>
        <v>45713</v>
      </c>
      <c r="T55" s="5">
        <f t="shared" si="7"/>
        <v>6240.9</v>
      </c>
      <c r="V55" s="105"/>
    </row>
    <row r="56" spans="1:22">
      <c r="A56" s="1">
        <f t="shared" si="15"/>
        <v>4</v>
      </c>
      <c r="B56" s="16">
        <f t="shared" si="8"/>
        <v>39</v>
      </c>
      <c r="C56" s="9">
        <f t="shared" si="14"/>
        <v>45741</v>
      </c>
      <c r="D56" s="6">
        <f>IFERROR(PPMT('Input-AF (Avg Insurance) '!$E$18/12,B56,$C$6,'Input-AF (Avg Insurance) '!$E$17,-$C$13,0)," ")</f>
        <v>-5172.6726628937558</v>
      </c>
      <c r="E56" s="6">
        <f>IFERROR(IPMT('Input-AF (Avg Insurance) '!$E$18/12,B56,$C$6,'Input-AF (Avg Insurance) '!$E$17,-$C$13,0)," ")</f>
        <v>-516.2271991261706</v>
      </c>
      <c r="F56" s="6">
        <f t="shared" si="9"/>
        <v>-186043.31901839282</v>
      </c>
      <c r="G56" s="6">
        <f t="shared" si="10"/>
        <v>-35823.775600384302</v>
      </c>
      <c r="H56" s="6">
        <f t="shared" si="5"/>
        <v>-5688.8998620199263</v>
      </c>
      <c r="I56" s="6">
        <f t="shared" si="6"/>
        <v>113956.68098160718</v>
      </c>
      <c r="J56" s="6" t="str">
        <f>IF(B56&lt;&gt;"",IF(AND('Input-AF (Avg Insurance) '!$H$17="Annual",MOD(B56,12)=0),'Input-AF (Avg Insurance) '!$J$17,IF(AND('Input-AF (Avg Insurance) '!$H$17="1st Installment",B56=1),'Input-AF (Avg Insurance) '!$J$17,IF('Input-AF (Avg Insurance) '!$H$17="Monthly",'Input-AF (Avg Insurance) '!$J$17,""))),"")</f>
        <v/>
      </c>
      <c r="K56" s="6" t="str">
        <f>IF(B56&lt;&gt;"",IF(AND('Input-AF (Avg Insurance) '!$H$18="Annual",MOD(B56,12)=0),'Input-AF (Avg Insurance) '!$J$18,IF(AND('Input-AF (Avg Insurance) '!$H$18="1st Installment",B56=1),'Input-AF (Avg Insurance) '!$J$18,IF('Input-AF (Avg Insurance) '!$H$18="Monthly",'Input-AF (Avg Insurance) '!$J$18,""))),"")</f>
        <v/>
      </c>
      <c r="L56" s="6">
        <f>IF(B56&lt;=$C$6,(IF(B56&lt;&gt;"",IF(AND('Input-AF (Avg Insurance) '!$H$19="Annual",MOD(B56,12)=0),'Input-AF (Avg Insurance) '!$J$19,IF(AND('Input-AF (Avg Insurance) '!$H$19="1st Installment",B56=1),'Input-AF (Avg Insurance) '!$J$19,IF('Input-AF (Avg Insurance) '!$H$19="Monthly",'Input-AF (Avg Insurance) '!$J$19,""))),""))," ")</f>
        <v>552</v>
      </c>
      <c r="M56" s="6" t="str">
        <f>IF(B56&lt;&gt;"",IF(AND('Input-AF (Avg Insurance) '!$H$20="Annual",MOD(B56,12)=0),'Input-AF (Avg Insurance) '!$J$20,IF(AND('Input-AF (Avg Insurance) '!$H$20="1st Installment",B56=1),'Input-AF (Avg Insurance) '!$J$20,IF('Input-AF (Avg Insurance) '!$H$20="Monthly",'Input-AF (Avg Insurance) '!$J$20,IF(AND('Input-AF (Avg Insurance) '!$H$20="End of the loan",B56='Input-AF (Avg Insurance) '!$E$22),'Input-AF (Avg Insurance) '!$J$20,"")))),"")</f>
        <v/>
      </c>
      <c r="N56" s="6">
        <f t="shared" si="13"/>
        <v>552</v>
      </c>
      <c r="O56" s="4">
        <f t="shared" si="1"/>
        <v>6240.8998620199263</v>
      </c>
      <c r="S56" s="9">
        <f t="shared" si="2"/>
        <v>45741</v>
      </c>
      <c r="T56" s="5">
        <f t="shared" si="7"/>
        <v>6240.9</v>
      </c>
      <c r="V56" s="105"/>
    </row>
    <row r="57" spans="1:22">
      <c r="A57" s="1">
        <f t="shared" si="15"/>
        <v>4</v>
      </c>
      <c r="B57" s="16">
        <f t="shared" si="8"/>
        <v>40</v>
      </c>
      <c r="C57" s="9">
        <f t="shared" si="14"/>
        <v>45772</v>
      </c>
      <c r="D57" s="6">
        <f>IFERROR(PPMT('Input-AF (Avg Insurance) '!$E$18/12,B57,$C$6,'Input-AF (Avg Insurance) '!$E$17,-$C$13,0)," ")</f>
        <v>-5195.0875777662959</v>
      </c>
      <c r="E57" s="6">
        <f>IFERROR(IPMT('Input-AF (Avg Insurance) '!$E$18/12,B57,$C$6,'Input-AF (Avg Insurance) '!$E$17,-$C$13,0)," ")</f>
        <v>-493.81228425363116</v>
      </c>
      <c r="F57" s="6">
        <f t="shared" si="9"/>
        <v>-191238.40659615913</v>
      </c>
      <c r="G57" s="6">
        <f t="shared" si="10"/>
        <v>-36317.587884637935</v>
      </c>
      <c r="H57" s="6">
        <f t="shared" si="5"/>
        <v>-5688.8998620199272</v>
      </c>
      <c r="I57" s="6">
        <f t="shared" si="6"/>
        <v>108761.59340384087</v>
      </c>
      <c r="J57" s="6" t="str">
        <f>IF(B57&lt;&gt;"",IF(AND('Input-AF (Avg Insurance) '!$H$17="Annual",MOD(B57,12)=0),'Input-AF (Avg Insurance) '!$J$17,IF(AND('Input-AF (Avg Insurance) '!$H$17="1st Installment",B57=1),'Input-AF (Avg Insurance) '!$J$17,IF('Input-AF (Avg Insurance) '!$H$17="Monthly",'Input-AF (Avg Insurance) '!$J$17,""))),"")</f>
        <v/>
      </c>
      <c r="K57" s="6" t="str">
        <f>IF(B57&lt;&gt;"",IF(AND('Input-AF (Avg Insurance) '!$H$18="Annual",MOD(B57,12)=0),'Input-AF (Avg Insurance) '!$J$18,IF(AND('Input-AF (Avg Insurance) '!$H$18="1st Installment",B57=1),'Input-AF (Avg Insurance) '!$J$18,IF('Input-AF (Avg Insurance) '!$H$18="Monthly",'Input-AF (Avg Insurance) '!$J$18,""))),"")</f>
        <v/>
      </c>
      <c r="L57" s="6">
        <f>IF(B57&lt;=$C$6,(IF(B57&lt;&gt;"",IF(AND('Input-AF (Avg Insurance) '!$H$19="Annual",MOD(B57,12)=0),'Input-AF (Avg Insurance) '!$J$19,IF(AND('Input-AF (Avg Insurance) '!$H$19="1st Installment",B57=1),'Input-AF (Avg Insurance) '!$J$19,IF('Input-AF (Avg Insurance) '!$H$19="Monthly",'Input-AF (Avg Insurance) '!$J$19,""))),""))," ")</f>
        <v>552</v>
      </c>
      <c r="M57" s="6" t="str">
        <f>IF(B57&lt;&gt;"",IF(AND('Input-AF (Avg Insurance) '!$H$20="Annual",MOD(B57,12)=0),'Input-AF (Avg Insurance) '!$J$20,IF(AND('Input-AF (Avg Insurance) '!$H$20="1st Installment",B57=1),'Input-AF (Avg Insurance) '!$J$20,IF('Input-AF (Avg Insurance) '!$H$20="Monthly",'Input-AF (Avg Insurance) '!$J$20,IF(AND('Input-AF (Avg Insurance) '!$H$20="End of the loan",B57='Input-AF (Avg Insurance) '!$E$22),'Input-AF (Avg Insurance) '!$J$20,"")))),"")</f>
        <v/>
      </c>
      <c r="N57" s="6">
        <f t="shared" si="13"/>
        <v>552</v>
      </c>
      <c r="O57" s="4">
        <f t="shared" si="1"/>
        <v>6240.8998620199272</v>
      </c>
      <c r="S57" s="9">
        <f t="shared" si="2"/>
        <v>45772</v>
      </c>
      <c r="T57" s="5">
        <f t="shared" si="7"/>
        <v>6240.9</v>
      </c>
      <c r="V57" s="105"/>
    </row>
    <row r="58" spans="1:22">
      <c r="A58" s="1">
        <f t="shared" si="15"/>
        <v>4</v>
      </c>
      <c r="B58" s="16">
        <f t="shared" si="8"/>
        <v>41</v>
      </c>
      <c r="C58" s="9">
        <f t="shared" si="14"/>
        <v>45802</v>
      </c>
      <c r="D58" s="6">
        <f>IFERROR(PPMT('Input-AF (Avg Insurance) '!$E$18/12,B58,$C$6,'Input-AF (Avg Insurance) '!$E$17,-$C$13,0)," ")</f>
        <v>-5217.5996239366159</v>
      </c>
      <c r="E58" s="6">
        <f>IFERROR(IPMT('Input-AF (Avg Insurance) '!$E$18/12,B58,$C$6,'Input-AF (Avg Insurance) '!$E$17,-$C$13,0)," ")</f>
        <v>-471.30023808331038</v>
      </c>
      <c r="F58" s="6">
        <f t="shared" si="9"/>
        <v>-196456.00622009573</v>
      </c>
      <c r="G58" s="6">
        <f t="shared" si="10"/>
        <v>-36788.888122721248</v>
      </c>
      <c r="H58" s="6">
        <f t="shared" si="5"/>
        <v>-5688.8998620199263</v>
      </c>
      <c r="I58" s="6">
        <f t="shared" si="6"/>
        <v>103543.99377990427</v>
      </c>
      <c r="J58" s="6" t="str">
        <f>IF(B58&lt;&gt;"",IF(AND('Input-AF (Avg Insurance) '!$H$17="Annual",MOD(B58,12)=0),'Input-AF (Avg Insurance) '!$J$17,IF(AND('Input-AF (Avg Insurance) '!$H$17="1st Installment",B58=1),'Input-AF (Avg Insurance) '!$J$17,IF('Input-AF (Avg Insurance) '!$H$17="Monthly",'Input-AF (Avg Insurance) '!$J$17,""))),"")</f>
        <v/>
      </c>
      <c r="K58" s="6" t="str">
        <f>IF(B58&lt;&gt;"",IF(AND('Input-AF (Avg Insurance) '!$H$18="Annual",MOD(B58,12)=0),'Input-AF (Avg Insurance) '!$J$18,IF(AND('Input-AF (Avg Insurance) '!$H$18="1st Installment",B58=1),'Input-AF (Avg Insurance) '!$J$18,IF('Input-AF (Avg Insurance) '!$H$18="Monthly",'Input-AF (Avg Insurance) '!$J$18,""))),"")</f>
        <v/>
      </c>
      <c r="L58" s="6">
        <f>IF(B58&lt;=$C$6,(IF(B58&lt;&gt;"",IF(AND('Input-AF (Avg Insurance) '!$H$19="Annual",MOD(B58,12)=0),'Input-AF (Avg Insurance) '!$J$19,IF(AND('Input-AF (Avg Insurance) '!$H$19="1st Installment",B58=1),'Input-AF (Avg Insurance) '!$J$19,IF('Input-AF (Avg Insurance) '!$H$19="Monthly",'Input-AF (Avg Insurance) '!$J$19,""))),""))," ")</f>
        <v>552</v>
      </c>
      <c r="M58" s="6" t="str">
        <f>IF(B58&lt;&gt;"",IF(AND('Input-AF (Avg Insurance) '!$H$20="Annual",MOD(B58,12)=0),'Input-AF (Avg Insurance) '!$J$20,IF(AND('Input-AF (Avg Insurance) '!$H$20="1st Installment",B58=1),'Input-AF (Avg Insurance) '!$J$20,IF('Input-AF (Avg Insurance) '!$H$20="Monthly",'Input-AF (Avg Insurance) '!$J$20,IF(AND('Input-AF (Avg Insurance) '!$H$20="End of the loan",B58='Input-AF (Avg Insurance) '!$E$22),'Input-AF (Avg Insurance) '!$J$20,"")))),"")</f>
        <v/>
      </c>
      <c r="N58" s="6">
        <f t="shared" si="13"/>
        <v>552</v>
      </c>
      <c r="O58" s="4">
        <f t="shared" si="1"/>
        <v>6240.8998620199263</v>
      </c>
      <c r="S58" s="9">
        <f t="shared" si="2"/>
        <v>45802</v>
      </c>
      <c r="T58" s="5">
        <f t="shared" si="7"/>
        <v>6240.9</v>
      </c>
      <c r="V58" s="105"/>
    </row>
    <row r="59" spans="1:22">
      <c r="A59" s="1">
        <f t="shared" si="15"/>
        <v>4</v>
      </c>
      <c r="B59" s="16">
        <f t="shared" si="8"/>
        <v>42</v>
      </c>
      <c r="C59" s="9">
        <f t="shared" si="14"/>
        <v>45833</v>
      </c>
      <c r="D59" s="6">
        <f>IFERROR(PPMT('Input-AF (Avg Insurance) '!$E$18/12,B59,$C$6,'Input-AF (Avg Insurance) '!$E$17,-$C$13,0)," ")</f>
        <v>-5240.2092223070085</v>
      </c>
      <c r="E59" s="6">
        <f>IFERROR(IPMT('Input-AF (Avg Insurance) '!$E$18/12,B59,$C$6,'Input-AF (Avg Insurance) '!$E$17,-$C$13,0)," ")</f>
        <v>-448.69063971291843</v>
      </c>
      <c r="F59" s="6">
        <f t="shared" si="9"/>
        <v>-201696.21544240275</v>
      </c>
      <c r="G59" s="6">
        <f t="shared" si="10"/>
        <v>-37237.578762434168</v>
      </c>
      <c r="H59" s="6">
        <f t="shared" si="5"/>
        <v>-5688.8998620199272</v>
      </c>
      <c r="I59" s="6">
        <f t="shared" si="6"/>
        <v>98303.784557597246</v>
      </c>
      <c r="J59" s="6" t="str">
        <f>IF(B59&lt;&gt;"",IF(AND('Input-AF (Avg Insurance) '!$H$17="Annual",MOD(B59,12)=0),'Input-AF (Avg Insurance) '!$J$17,IF(AND('Input-AF (Avg Insurance) '!$H$17="1st Installment",B59=1),'Input-AF (Avg Insurance) '!$J$17,IF('Input-AF (Avg Insurance) '!$H$17="Monthly",'Input-AF (Avg Insurance) '!$J$17,""))),"")</f>
        <v/>
      </c>
      <c r="K59" s="6" t="str">
        <f>IF(B59&lt;&gt;"",IF(AND('Input-AF (Avg Insurance) '!$H$18="Annual",MOD(B59,12)=0),'Input-AF (Avg Insurance) '!$J$18,IF(AND('Input-AF (Avg Insurance) '!$H$18="1st Installment",B59=1),'Input-AF (Avg Insurance) '!$J$18,IF('Input-AF (Avg Insurance) '!$H$18="Monthly",'Input-AF (Avg Insurance) '!$J$18,""))),"")</f>
        <v/>
      </c>
      <c r="L59" s="6">
        <f>IF(B59&lt;=$C$6,(IF(B59&lt;&gt;"",IF(AND('Input-AF (Avg Insurance) '!$H$19="Annual",MOD(B59,12)=0),'Input-AF (Avg Insurance) '!$J$19,IF(AND('Input-AF (Avg Insurance) '!$H$19="1st Installment",B59=1),'Input-AF (Avg Insurance) '!$J$19,IF('Input-AF (Avg Insurance) '!$H$19="Monthly",'Input-AF (Avg Insurance) '!$J$19,""))),""))," ")</f>
        <v>552</v>
      </c>
      <c r="M59" s="6" t="str">
        <f>IF(B59&lt;&gt;"",IF(AND('Input-AF (Avg Insurance) '!$H$20="Annual",MOD(B59,12)=0),'Input-AF (Avg Insurance) '!$J$20,IF(AND('Input-AF (Avg Insurance) '!$H$20="1st Installment",B59=1),'Input-AF (Avg Insurance) '!$J$20,IF('Input-AF (Avg Insurance) '!$H$20="Monthly",'Input-AF (Avg Insurance) '!$J$20,IF(AND('Input-AF (Avg Insurance) '!$H$20="End of the loan",B59='Input-AF (Avg Insurance) '!$E$22),'Input-AF (Avg Insurance) '!$J$20,"")))),"")</f>
        <v/>
      </c>
      <c r="N59" s="6">
        <f t="shared" si="13"/>
        <v>552</v>
      </c>
      <c r="O59" s="4">
        <f t="shared" si="1"/>
        <v>6240.8998620199272</v>
      </c>
      <c r="S59" s="9">
        <f t="shared" si="2"/>
        <v>45833</v>
      </c>
      <c r="T59" s="5">
        <f t="shared" si="7"/>
        <v>6240.9</v>
      </c>
      <c r="V59" s="105"/>
    </row>
    <row r="60" spans="1:22">
      <c r="A60" s="1">
        <f t="shared" si="15"/>
        <v>4</v>
      </c>
      <c r="B60" s="16">
        <f t="shared" si="8"/>
        <v>43</v>
      </c>
      <c r="C60" s="9">
        <f t="shared" si="14"/>
        <v>45863</v>
      </c>
      <c r="D60" s="6">
        <f>IFERROR(PPMT('Input-AF (Avg Insurance) '!$E$18/12,B60,$C$6,'Input-AF (Avg Insurance) '!$E$17,-$C$13,0)," ")</f>
        <v>-5262.9167956036717</v>
      </c>
      <c r="E60" s="6">
        <f>IFERROR(IPMT('Input-AF (Avg Insurance) '!$E$18/12,B60,$C$6,'Input-AF (Avg Insurance) '!$E$17,-$C$13,0)," ")</f>
        <v>-425.9830664162547</v>
      </c>
      <c r="F60" s="6">
        <f t="shared" si="9"/>
        <v>-206959.13223800642</v>
      </c>
      <c r="G60" s="6">
        <f t="shared" si="10"/>
        <v>-37663.561828850427</v>
      </c>
      <c r="H60" s="6">
        <f t="shared" si="5"/>
        <v>-5688.8998620199263</v>
      </c>
      <c r="I60" s="6">
        <f t="shared" si="6"/>
        <v>93040.867761993577</v>
      </c>
      <c r="J60" s="6" t="str">
        <f>IF(B60&lt;&gt;"",IF(AND('Input-AF (Avg Insurance) '!$H$17="Annual",MOD(B60,12)=0),'Input-AF (Avg Insurance) '!$J$17,IF(AND('Input-AF (Avg Insurance) '!$H$17="1st Installment",B60=1),'Input-AF (Avg Insurance) '!$J$17,IF('Input-AF (Avg Insurance) '!$H$17="Monthly",'Input-AF (Avg Insurance) '!$J$17,""))),"")</f>
        <v/>
      </c>
      <c r="K60" s="6" t="str">
        <f>IF(B60&lt;&gt;"",IF(AND('Input-AF (Avg Insurance) '!$H$18="Annual",MOD(B60,12)=0),'Input-AF (Avg Insurance) '!$J$18,IF(AND('Input-AF (Avg Insurance) '!$H$18="1st Installment",B60=1),'Input-AF (Avg Insurance) '!$J$18,IF('Input-AF (Avg Insurance) '!$H$18="Monthly",'Input-AF (Avg Insurance) '!$J$18,""))),"")</f>
        <v/>
      </c>
      <c r="L60" s="6">
        <f>IF(B60&lt;=$C$6,(IF(B60&lt;&gt;"",IF(AND('Input-AF (Avg Insurance) '!$H$19="Annual",MOD(B60,12)=0),'Input-AF (Avg Insurance) '!$J$19,IF(AND('Input-AF (Avg Insurance) '!$H$19="1st Installment",B60=1),'Input-AF (Avg Insurance) '!$J$19,IF('Input-AF (Avg Insurance) '!$H$19="Monthly",'Input-AF (Avg Insurance) '!$J$19,""))),""))," ")</f>
        <v>552</v>
      </c>
      <c r="M60" s="6" t="str">
        <f>IF(B60&lt;&gt;"",IF(AND('Input-AF (Avg Insurance) '!$H$20="Annual",MOD(B60,12)=0),'Input-AF (Avg Insurance) '!$J$20,IF(AND('Input-AF (Avg Insurance) '!$H$20="1st Installment",B60=1),'Input-AF (Avg Insurance) '!$J$20,IF('Input-AF (Avg Insurance) '!$H$20="Monthly",'Input-AF (Avg Insurance) '!$J$20,IF(AND('Input-AF (Avg Insurance) '!$H$20="End of the loan",B60='Input-AF (Avg Insurance) '!$E$22),'Input-AF (Avg Insurance) '!$J$20,"")))),"")</f>
        <v/>
      </c>
      <c r="N60" s="6">
        <f t="shared" si="13"/>
        <v>552</v>
      </c>
      <c r="O60" s="4">
        <f t="shared" si="1"/>
        <v>6240.8998620199263</v>
      </c>
      <c r="S60" s="9">
        <f t="shared" si="2"/>
        <v>45863</v>
      </c>
      <c r="T60" s="5">
        <f t="shared" si="7"/>
        <v>6240.9</v>
      </c>
      <c r="V60" s="105"/>
    </row>
    <row r="61" spans="1:22">
      <c r="A61" s="1">
        <f t="shared" si="15"/>
        <v>4</v>
      </c>
      <c r="B61" s="16">
        <f t="shared" si="8"/>
        <v>44</v>
      </c>
      <c r="C61" s="9">
        <f t="shared" si="14"/>
        <v>45894</v>
      </c>
      <c r="D61" s="6">
        <f>IFERROR(PPMT('Input-AF (Avg Insurance) '!$E$18/12,B61,$C$6,'Input-AF (Avg Insurance) '!$E$17,-$C$13,0)," ")</f>
        <v>-5285.7227683846213</v>
      </c>
      <c r="E61" s="6">
        <f>IFERROR(IPMT('Input-AF (Avg Insurance) '!$E$18/12,B61,$C$6,'Input-AF (Avg Insurance) '!$E$17,-$C$13,0)," ")</f>
        <v>-403.17709363530548</v>
      </c>
      <c r="F61" s="6">
        <f t="shared" si="9"/>
        <v>-212244.85500639104</v>
      </c>
      <c r="G61" s="6">
        <f t="shared" si="10"/>
        <v>-38066.738922485732</v>
      </c>
      <c r="H61" s="6">
        <f t="shared" si="5"/>
        <v>-5688.8998620199272</v>
      </c>
      <c r="I61" s="6">
        <f t="shared" si="6"/>
        <v>87755.144993608963</v>
      </c>
      <c r="J61" s="6" t="str">
        <f>IF(B61&lt;&gt;"",IF(AND('Input-AF (Avg Insurance) '!$H$17="Annual",MOD(B61,12)=0),'Input-AF (Avg Insurance) '!$J$17,IF(AND('Input-AF (Avg Insurance) '!$H$17="1st Installment",B61=1),'Input-AF (Avg Insurance) '!$J$17,IF('Input-AF (Avg Insurance) '!$H$17="Monthly",'Input-AF (Avg Insurance) '!$J$17,""))),"")</f>
        <v/>
      </c>
      <c r="K61" s="6" t="str">
        <f>IF(B61&lt;&gt;"",IF(AND('Input-AF (Avg Insurance) '!$H$18="Annual",MOD(B61,12)=0),'Input-AF (Avg Insurance) '!$J$18,IF(AND('Input-AF (Avg Insurance) '!$H$18="1st Installment",B61=1),'Input-AF (Avg Insurance) '!$J$18,IF('Input-AF (Avg Insurance) '!$H$18="Monthly",'Input-AF (Avg Insurance) '!$J$18,""))),"")</f>
        <v/>
      </c>
      <c r="L61" s="6">
        <f>IF(B61&lt;=$C$6,(IF(B61&lt;&gt;"",IF(AND('Input-AF (Avg Insurance) '!$H$19="Annual",MOD(B61,12)=0),'Input-AF (Avg Insurance) '!$J$19,IF(AND('Input-AF (Avg Insurance) '!$H$19="1st Installment",B61=1),'Input-AF (Avg Insurance) '!$J$19,IF('Input-AF (Avg Insurance) '!$H$19="Monthly",'Input-AF (Avg Insurance) '!$J$19,""))),""))," ")</f>
        <v>552</v>
      </c>
      <c r="M61" s="6" t="str">
        <f>IF(B61&lt;&gt;"",IF(AND('Input-AF (Avg Insurance) '!$H$20="Annual",MOD(B61,12)=0),'Input-AF (Avg Insurance) '!$J$20,IF(AND('Input-AF (Avg Insurance) '!$H$20="1st Installment",B61=1),'Input-AF (Avg Insurance) '!$J$20,IF('Input-AF (Avg Insurance) '!$H$20="Monthly",'Input-AF (Avg Insurance) '!$J$20,IF(AND('Input-AF (Avg Insurance) '!$H$20="End of the loan",B61='Input-AF (Avg Insurance) '!$E$22),'Input-AF (Avg Insurance) '!$J$20,"")))),"")</f>
        <v/>
      </c>
      <c r="N61" s="6">
        <f t="shared" si="13"/>
        <v>552</v>
      </c>
      <c r="O61" s="4">
        <f t="shared" si="1"/>
        <v>6240.8998620199272</v>
      </c>
      <c r="S61" s="9">
        <f t="shared" si="2"/>
        <v>45894</v>
      </c>
      <c r="T61" s="5">
        <f t="shared" si="7"/>
        <v>6240.9</v>
      </c>
      <c r="V61" s="105"/>
    </row>
    <row r="62" spans="1:22">
      <c r="A62" s="1">
        <f t="shared" si="15"/>
        <v>4</v>
      </c>
      <c r="B62" s="16">
        <f t="shared" si="8"/>
        <v>45</v>
      </c>
      <c r="C62" s="9">
        <f t="shared" si="14"/>
        <v>45925</v>
      </c>
      <c r="D62" s="6">
        <f>IFERROR(PPMT('Input-AF (Avg Insurance) '!$E$18/12,B62,$C$6,'Input-AF (Avg Insurance) '!$E$17,-$C$13,0)," ")</f>
        <v>-5308.6275670476207</v>
      </c>
      <c r="E62" s="6">
        <f>IFERROR(IPMT('Input-AF (Avg Insurance) '!$E$18/12,B62,$C$6,'Input-AF (Avg Insurance) '!$E$17,-$C$13,0)," ")</f>
        <v>-380.27229497230542</v>
      </c>
      <c r="F62" s="6">
        <f t="shared" si="9"/>
        <v>-217553.48257343867</v>
      </c>
      <c r="G62" s="6">
        <f t="shared" si="10"/>
        <v>-38447.011217458035</v>
      </c>
      <c r="H62" s="6">
        <f t="shared" si="5"/>
        <v>-5688.8998620199263</v>
      </c>
      <c r="I62" s="6">
        <f t="shared" si="6"/>
        <v>82446.517426561331</v>
      </c>
      <c r="J62" s="6" t="str">
        <f>IF(B62&lt;&gt;"",IF(AND('Input-AF (Avg Insurance) '!$H$17="Annual",MOD(B62,12)=0),'Input-AF (Avg Insurance) '!$J$17,IF(AND('Input-AF (Avg Insurance) '!$H$17="1st Installment",B62=1),'Input-AF (Avg Insurance) '!$J$17,IF('Input-AF (Avg Insurance) '!$H$17="Monthly",'Input-AF (Avg Insurance) '!$J$17,""))),"")</f>
        <v/>
      </c>
      <c r="K62" s="6" t="str">
        <f>IF(B62&lt;&gt;"",IF(AND('Input-AF (Avg Insurance) '!$H$18="Annual",MOD(B62,12)=0),'Input-AF (Avg Insurance) '!$J$18,IF(AND('Input-AF (Avg Insurance) '!$H$18="1st Installment",B62=1),'Input-AF (Avg Insurance) '!$J$18,IF('Input-AF (Avg Insurance) '!$H$18="Monthly",'Input-AF (Avg Insurance) '!$J$18,""))),"")</f>
        <v/>
      </c>
      <c r="L62" s="6">
        <f>IF(B62&lt;=$C$6,(IF(B62&lt;&gt;"",IF(AND('Input-AF (Avg Insurance) '!$H$19="Annual",MOD(B62,12)=0),'Input-AF (Avg Insurance) '!$J$19,IF(AND('Input-AF (Avg Insurance) '!$H$19="1st Installment",B62=1),'Input-AF (Avg Insurance) '!$J$19,IF('Input-AF (Avg Insurance) '!$H$19="Monthly",'Input-AF (Avg Insurance) '!$J$19,""))),""))," ")</f>
        <v>552</v>
      </c>
      <c r="M62" s="6" t="str">
        <f>IF(B62&lt;&gt;"",IF(AND('Input-AF (Avg Insurance) '!$H$20="Annual",MOD(B62,12)=0),'Input-AF (Avg Insurance) '!$J$20,IF(AND('Input-AF (Avg Insurance) '!$H$20="1st Installment",B62=1),'Input-AF (Avg Insurance) '!$J$20,IF('Input-AF (Avg Insurance) '!$H$20="Monthly",'Input-AF (Avg Insurance) '!$J$20,IF(AND('Input-AF (Avg Insurance) '!$H$20="End of the loan",B62='Input-AF (Avg Insurance) '!$E$22),'Input-AF (Avg Insurance) '!$J$20,"")))),"")</f>
        <v/>
      </c>
      <c r="N62" s="6">
        <f t="shared" si="13"/>
        <v>552</v>
      </c>
      <c r="O62" s="4">
        <f t="shared" si="1"/>
        <v>6240.8998620199263</v>
      </c>
      <c r="S62" s="9">
        <f t="shared" si="2"/>
        <v>45925</v>
      </c>
      <c r="T62" s="5">
        <f t="shared" si="7"/>
        <v>6240.9</v>
      </c>
      <c r="V62" s="105"/>
    </row>
    <row r="63" spans="1:22">
      <c r="A63" s="1">
        <f t="shared" si="15"/>
        <v>4</v>
      </c>
      <c r="B63" s="16">
        <f t="shared" si="8"/>
        <v>46</v>
      </c>
      <c r="C63" s="9">
        <f t="shared" si="14"/>
        <v>45955</v>
      </c>
      <c r="D63" s="6">
        <f>IFERROR(PPMT('Input-AF (Avg Insurance) '!$E$18/12,B63,$C$6,'Input-AF (Avg Insurance) '!$E$17,-$C$13,0)," ")</f>
        <v>-5331.631619838161</v>
      </c>
      <c r="E63" s="6">
        <f>IFERROR(IPMT('Input-AF (Avg Insurance) '!$E$18/12,B63,$C$6,'Input-AF (Avg Insurance) '!$E$17,-$C$13,0)," ")</f>
        <v>-357.26824218176569</v>
      </c>
      <c r="F63" s="6">
        <f t="shared" si="9"/>
        <v>-222885.11419327682</v>
      </c>
      <c r="G63" s="6">
        <f t="shared" si="10"/>
        <v>-38804.279459639802</v>
      </c>
      <c r="H63" s="6">
        <f t="shared" si="5"/>
        <v>-5688.8998620199263</v>
      </c>
      <c r="I63" s="6">
        <f t="shared" si="6"/>
        <v>77114.885806723178</v>
      </c>
      <c r="J63" s="6" t="str">
        <f>IF(B63&lt;&gt;"",IF(AND('Input-AF (Avg Insurance) '!$H$17="Annual",MOD(B63,12)=0),'Input-AF (Avg Insurance) '!$J$17,IF(AND('Input-AF (Avg Insurance) '!$H$17="1st Installment",B63=1),'Input-AF (Avg Insurance) '!$J$17,IF('Input-AF (Avg Insurance) '!$H$17="Monthly",'Input-AF (Avg Insurance) '!$J$17,""))),"")</f>
        <v/>
      </c>
      <c r="K63" s="6" t="str">
        <f>IF(B63&lt;&gt;"",IF(AND('Input-AF (Avg Insurance) '!$H$18="Annual",MOD(B63,12)=0),'Input-AF (Avg Insurance) '!$J$18,IF(AND('Input-AF (Avg Insurance) '!$H$18="1st Installment",B63=1),'Input-AF (Avg Insurance) '!$J$18,IF('Input-AF (Avg Insurance) '!$H$18="Monthly",'Input-AF (Avg Insurance) '!$J$18,""))),"")</f>
        <v/>
      </c>
      <c r="L63" s="6">
        <f>IF(B63&lt;=$C$6,(IF(B63&lt;&gt;"",IF(AND('Input-AF (Avg Insurance) '!$H$19="Annual",MOD(B63,12)=0),'Input-AF (Avg Insurance) '!$J$19,IF(AND('Input-AF (Avg Insurance) '!$H$19="1st Installment",B63=1),'Input-AF (Avg Insurance) '!$J$19,IF('Input-AF (Avg Insurance) '!$H$19="Monthly",'Input-AF (Avg Insurance) '!$J$19,""))),""))," ")</f>
        <v>552</v>
      </c>
      <c r="M63" s="6" t="str">
        <f>IF(B63&lt;&gt;"",IF(AND('Input-AF (Avg Insurance) '!$H$20="Annual",MOD(B63,12)=0),'Input-AF (Avg Insurance) '!$J$20,IF(AND('Input-AF (Avg Insurance) '!$H$20="1st Installment",B63=1),'Input-AF (Avg Insurance) '!$J$20,IF('Input-AF (Avg Insurance) '!$H$20="Monthly",'Input-AF (Avg Insurance) '!$J$20,IF(AND('Input-AF (Avg Insurance) '!$H$20="End of the loan",B63='Input-AF (Avg Insurance) '!$E$22),'Input-AF (Avg Insurance) '!$J$20,"")))),"")</f>
        <v/>
      </c>
      <c r="N63" s="6">
        <f t="shared" si="13"/>
        <v>552</v>
      </c>
      <c r="O63" s="4">
        <f t="shared" si="1"/>
        <v>6240.8998620199263</v>
      </c>
      <c r="S63" s="9">
        <f t="shared" si="2"/>
        <v>45955</v>
      </c>
      <c r="T63" s="5">
        <f t="shared" si="7"/>
        <v>6240.9</v>
      </c>
      <c r="V63" s="105"/>
    </row>
    <row r="64" spans="1:22">
      <c r="A64" s="1">
        <f t="shared" si="15"/>
        <v>4</v>
      </c>
      <c r="B64" s="16">
        <f t="shared" si="8"/>
        <v>47</v>
      </c>
      <c r="C64" s="9">
        <f t="shared" si="14"/>
        <v>45986</v>
      </c>
      <c r="D64" s="6">
        <f>IFERROR(PPMT('Input-AF (Avg Insurance) '!$E$18/12,B64,$C$6,'Input-AF (Avg Insurance) '!$E$17,-$C$13,0)," ")</f>
        <v>-5354.7353568574599</v>
      </c>
      <c r="E64" s="6">
        <f>IFERROR(IPMT('Input-AF (Avg Insurance) '!$E$18/12,B64,$C$6,'Input-AF (Avg Insurance) '!$E$17,-$C$13,0)," ")</f>
        <v>-334.16450516246704</v>
      </c>
      <c r="F64" s="6">
        <f t="shared" si="9"/>
        <v>-228239.84955013427</v>
      </c>
      <c r="G64" s="6">
        <f t="shared" si="10"/>
        <v>-39138.443964802267</v>
      </c>
      <c r="H64" s="6">
        <f t="shared" si="5"/>
        <v>-5688.8998620199272</v>
      </c>
      <c r="I64" s="6">
        <f t="shared" si="6"/>
        <v>71760.15044986573</v>
      </c>
      <c r="J64" s="6" t="str">
        <f>IF(B64&lt;&gt;"",IF(AND('Input-AF (Avg Insurance) '!$H$17="Annual",MOD(B64,12)=0),'Input-AF (Avg Insurance) '!$J$17,IF(AND('Input-AF (Avg Insurance) '!$H$17="1st Installment",B64=1),'Input-AF (Avg Insurance) '!$J$17,IF('Input-AF (Avg Insurance) '!$H$17="Monthly",'Input-AF (Avg Insurance) '!$J$17,""))),"")</f>
        <v/>
      </c>
      <c r="K64" s="6" t="str">
        <f>IF(B64&lt;&gt;"",IF(AND('Input-AF (Avg Insurance) '!$H$18="Annual",MOD(B64,12)=0),'Input-AF (Avg Insurance) '!$J$18,IF(AND('Input-AF (Avg Insurance) '!$H$18="1st Installment",B64=1),'Input-AF (Avg Insurance) '!$J$18,IF('Input-AF (Avg Insurance) '!$H$18="Monthly",'Input-AF (Avg Insurance) '!$J$18,""))),"")</f>
        <v/>
      </c>
      <c r="L64" s="6">
        <f>IF(B64&lt;=$C$6,(IF(B64&lt;&gt;"",IF(AND('Input-AF (Avg Insurance) '!$H$19="Annual",MOD(B64,12)=0),'Input-AF (Avg Insurance) '!$J$19,IF(AND('Input-AF (Avg Insurance) '!$H$19="1st Installment",B64=1),'Input-AF (Avg Insurance) '!$J$19,IF('Input-AF (Avg Insurance) '!$H$19="Monthly",'Input-AF (Avg Insurance) '!$J$19,""))),""))," ")</f>
        <v>552</v>
      </c>
      <c r="M64" s="6" t="str">
        <f>IF(B64&lt;&gt;"",IF(AND('Input-AF (Avg Insurance) '!$H$20="Annual",MOD(B64,12)=0),'Input-AF (Avg Insurance) '!$J$20,IF(AND('Input-AF (Avg Insurance) '!$H$20="1st Installment",B64=1),'Input-AF (Avg Insurance) '!$J$20,IF('Input-AF (Avg Insurance) '!$H$20="Monthly",'Input-AF (Avg Insurance) '!$J$20,IF(AND('Input-AF (Avg Insurance) '!$H$20="End of the loan",B64='Input-AF (Avg Insurance) '!$E$22),'Input-AF (Avg Insurance) '!$J$20,"")))),"")</f>
        <v/>
      </c>
      <c r="N64" s="6">
        <f t="shared" si="13"/>
        <v>552</v>
      </c>
      <c r="O64" s="4">
        <f t="shared" si="1"/>
        <v>6240.8998620199272</v>
      </c>
      <c r="S64" s="9">
        <f t="shared" si="2"/>
        <v>45986</v>
      </c>
      <c r="T64" s="5">
        <f t="shared" si="7"/>
        <v>6240.9</v>
      </c>
      <c r="V64" s="105"/>
    </row>
    <row r="65" spans="1:22">
      <c r="A65" s="1">
        <f t="shared" si="15"/>
        <v>4</v>
      </c>
      <c r="B65" s="16">
        <f t="shared" si="8"/>
        <v>48</v>
      </c>
      <c r="C65" s="9">
        <f t="shared" si="14"/>
        <v>46016</v>
      </c>
      <c r="D65" s="6">
        <f>IFERROR(PPMT('Input-AF (Avg Insurance) '!$E$18/12,B65,$C$6,'Input-AF (Avg Insurance) '!$E$17,-$C$13,0)," ")</f>
        <v>-5377.939210070509</v>
      </c>
      <c r="E65" s="6">
        <f>IFERROR(IPMT('Input-AF (Avg Insurance) '!$E$18/12,B65,$C$6,'Input-AF (Avg Insurance) '!$E$17,-$C$13,0)," ")</f>
        <v>-310.96065194941804</v>
      </c>
      <c r="F65" s="6">
        <f t="shared" si="9"/>
        <v>-233617.78876020477</v>
      </c>
      <c r="G65" s="6">
        <f t="shared" si="10"/>
        <v>-39449.404616751686</v>
      </c>
      <c r="H65" s="6">
        <f t="shared" si="5"/>
        <v>-5688.8998620199272</v>
      </c>
      <c r="I65" s="6">
        <f t="shared" si="6"/>
        <v>66382.21123979523</v>
      </c>
      <c r="J65" s="6" t="str">
        <f>IF(B65&lt;&gt;"",IF(AND('Input-AF (Avg Insurance) '!$H$17="Annual",MOD(B65,12)=0),'Input-AF (Avg Insurance) '!$J$17,IF(AND('Input-AF (Avg Insurance) '!$H$17="1st Installment",B65=1),'Input-AF (Avg Insurance) '!$J$17,IF('Input-AF (Avg Insurance) '!$H$17="Monthly",'Input-AF (Avg Insurance) '!$J$17,""))),"")</f>
        <v/>
      </c>
      <c r="K65" s="6" t="str">
        <f>IF(B65&lt;&gt;"",IF(AND('Input-AF (Avg Insurance) '!$H$18="Annual",MOD(B65,12)=0),'Input-AF (Avg Insurance) '!$J$18,IF(AND('Input-AF (Avg Insurance) '!$H$18="1st Installment",B65=1),'Input-AF (Avg Insurance) '!$J$18,IF('Input-AF (Avg Insurance) '!$H$18="Monthly",'Input-AF (Avg Insurance) '!$J$18,""))),"")</f>
        <v/>
      </c>
      <c r="L65" s="6">
        <f>IF(B65&lt;=$C$6,(IF(B65&lt;&gt;"",IF(AND('Input-AF (Avg Insurance) '!$H$19="Annual",MOD(B65,12)=0),'Input-AF (Avg Insurance) '!$J$19,IF(AND('Input-AF (Avg Insurance) '!$H$19="1st Installment",B65=1),'Input-AF (Avg Insurance) '!$J$19,IF('Input-AF (Avg Insurance) '!$H$19="Monthly",'Input-AF (Avg Insurance) '!$J$19,""))),""))," ")</f>
        <v>552</v>
      </c>
      <c r="M65" s="6" t="str">
        <f>IF(B65&lt;&gt;"",IF(AND('Input-AF (Avg Insurance) '!$H$20="Annual",MOD(B65,12)=0),'Input-AF (Avg Insurance) '!$J$20,IF(AND('Input-AF (Avg Insurance) '!$H$20="1st Installment",B65=1),'Input-AF (Avg Insurance) '!$J$20,IF('Input-AF (Avg Insurance) '!$H$20="Monthly",'Input-AF (Avg Insurance) '!$J$20,IF(AND('Input-AF (Avg Insurance) '!$H$20="End of the loan",B65='Input-AF (Avg Insurance) '!$E$22),'Input-AF (Avg Insurance) '!$J$20,"")))),"")</f>
        <v/>
      </c>
      <c r="N65" s="6">
        <f t="shared" si="13"/>
        <v>552</v>
      </c>
      <c r="O65" s="4">
        <f t="shared" si="1"/>
        <v>6240.8998620199272</v>
      </c>
      <c r="S65" s="9">
        <f t="shared" si="2"/>
        <v>46016</v>
      </c>
      <c r="T65" s="5">
        <f t="shared" si="7"/>
        <v>6240.9</v>
      </c>
      <c r="V65" s="105"/>
    </row>
    <row r="66" spans="1:22">
      <c r="A66" s="1">
        <f>IF(B66&lt;&gt;"",5,"")</f>
        <v>5</v>
      </c>
      <c r="B66" s="16">
        <f t="shared" si="8"/>
        <v>49</v>
      </c>
      <c r="C66" s="9">
        <f t="shared" si="14"/>
        <v>46047</v>
      </c>
      <c r="D66" s="6">
        <f>IFERROR(PPMT('Input-AF (Avg Insurance) '!$E$18/12,B66,$C$6,'Input-AF (Avg Insurance) '!$E$17,-$C$13,0)," ")</f>
        <v>-5401.2436133141473</v>
      </c>
      <c r="E66" s="6">
        <f>IFERROR(IPMT('Input-AF (Avg Insurance) '!$E$18/12,B66,$C$6,'Input-AF (Avg Insurance) '!$E$17,-$C$13,0)," ")</f>
        <v>-287.65624870577921</v>
      </c>
      <c r="F66" s="6">
        <f t="shared" si="9"/>
        <v>-239019.03237351892</v>
      </c>
      <c r="G66" s="6">
        <f t="shared" si="10"/>
        <v>-39737.060865457468</v>
      </c>
      <c r="H66" s="6">
        <f t="shared" si="5"/>
        <v>-5688.8998620199263</v>
      </c>
      <c r="I66" s="6">
        <f t="shared" si="6"/>
        <v>60980.967626481084</v>
      </c>
      <c r="J66" s="6" t="str">
        <f>IF(B66&lt;&gt;"",IF(AND('Input-AF (Avg Insurance) '!$H$17="Annual",MOD(B66,12)=0),'Input-AF (Avg Insurance) '!$J$17,IF(AND('Input-AF (Avg Insurance) '!$H$17="1st Installment",B66=1),'Input-AF (Avg Insurance) '!$J$17,IF('Input-AF (Avg Insurance) '!$H$17="Monthly",'Input-AF (Avg Insurance) '!$J$17,""))),"")</f>
        <v/>
      </c>
      <c r="K66" s="6" t="str">
        <f>IF(B66&lt;&gt;"",IF(AND('Input-AF (Avg Insurance) '!$H$18="Annual",MOD(B66,12)=0),'Input-AF (Avg Insurance) '!$J$18,IF(AND('Input-AF (Avg Insurance) '!$H$18="1st Installment",B66=1),'Input-AF (Avg Insurance) '!$J$18,IF('Input-AF (Avg Insurance) '!$H$18="Monthly",'Input-AF (Avg Insurance) '!$J$18,""))),"")</f>
        <v/>
      </c>
      <c r="L66" s="6">
        <f>IF(B66&lt;=$C$6,(IF(B66&lt;&gt;"",IF(AND('Input-AF (Avg Insurance) '!$H$19="Annual",MOD(B66,12)=0),'Input-AF (Avg Insurance) '!$J$19,IF(AND('Input-AF (Avg Insurance) '!$H$19="1st Installment",B66=1),'Input-AF (Avg Insurance) '!$J$19,IF('Input-AF (Avg Insurance) '!$H$19="Monthly",'Input-AF (Avg Insurance) '!$J$19,""))),""))," ")</f>
        <v>552</v>
      </c>
      <c r="M66" s="6" t="str">
        <f>IF(B66&lt;&gt;"",IF(AND('Input-AF (Avg Insurance) '!$H$20="Annual",MOD(B66,12)=0),'Input-AF (Avg Insurance) '!$J$20,IF(AND('Input-AF (Avg Insurance) '!$H$20="1st Installment",B66=1),'Input-AF (Avg Insurance) '!$J$20,IF('Input-AF (Avg Insurance) '!$H$20="Monthly",'Input-AF (Avg Insurance) '!$J$20,IF(AND('Input-AF (Avg Insurance) '!$H$20="End of the loan",B66='Input-AF (Avg Insurance) '!$E$22),'Input-AF (Avg Insurance) '!$J$20,"")))),"")</f>
        <v/>
      </c>
      <c r="N66" s="6">
        <f t="shared" si="13"/>
        <v>552</v>
      </c>
      <c r="O66" s="4">
        <f t="shared" si="1"/>
        <v>6240.8998620199263</v>
      </c>
      <c r="S66" s="9">
        <f t="shared" si="2"/>
        <v>46047</v>
      </c>
      <c r="T66" s="5">
        <f t="shared" si="7"/>
        <v>6240.9</v>
      </c>
      <c r="V66" s="105"/>
    </row>
    <row r="67" spans="1:22">
      <c r="A67" s="1">
        <f t="shared" ref="A67:A77" si="16">IF(B67&lt;&gt;"",5,"")</f>
        <v>5</v>
      </c>
      <c r="B67" s="16">
        <f t="shared" si="8"/>
        <v>50</v>
      </c>
      <c r="C67" s="9">
        <f t="shared" si="14"/>
        <v>46078</v>
      </c>
      <c r="D67" s="6">
        <f>IFERROR(PPMT('Input-AF (Avg Insurance) '!$E$18/12,B67,$C$6,'Input-AF (Avg Insurance) '!$E$17,-$C$13,0)," ")</f>
        <v>-5424.6490023051756</v>
      </c>
      <c r="E67" s="6">
        <f>IFERROR(IPMT('Input-AF (Avg Insurance) '!$E$18/12,B67,$C$6,'Input-AF (Avg Insurance) '!$E$17,-$C$13,0)," ")</f>
        <v>-264.25085971475124</v>
      </c>
      <c r="F67" s="6">
        <f t="shared" si="9"/>
        <v>-244443.68137582409</v>
      </c>
      <c r="G67" s="6">
        <f t="shared" si="10"/>
        <v>-40001.311725172221</v>
      </c>
      <c r="H67" s="6">
        <f t="shared" si="5"/>
        <v>-5688.8998620199272</v>
      </c>
      <c r="I67" s="6">
        <f t="shared" si="6"/>
        <v>55556.31862417591</v>
      </c>
      <c r="J67" s="6" t="str">
        <f>IF(B67&lt;&gt;"",IF(AND('Input-AF (Avg Insurance) '!$H$17="Annual",MOD(B67,12)=0),'Input-AF (Avg Insurance) '!$J$17,IF(AND('Input-AF (Avg Insurance) '!$H$17="1st Installment",B67=1),'Input-AF (Avg Insurance) '!$J$17,IF('Input-AF (Avg Insurance) '!$H$17="Monthly",'Input-AF (Avg Insurance) '!$J$17,""))),"")</f>
        <v/>
      </c>
      <c r="K67" s="6" t="str">
        <f>IF(B67&lt;&gt;"",IF(AND('Input-AF (Avg Insurance) '!$H$18="Annual",MOD(B67,12)=0),'Input-AF (Avg Insurance) '!$J$18,IF(AND('Input-AF (Avg Insurance) '!$H$18="1st Installment",B67=1),'Input-AF (Avg Insurance) '!$J$18,IF('Input-AF (Avg Insurance) '!$H$18="Monthly",'Input-AF (Avg Insurance) '!$J$18,""))),"")</f>
        <v/>
      </c>
      <c r="L67" s="6">
        <f>IF(B67&lt;=$C$6,(IF(B67&lt;&gt;"",IF(AND('Input-AF (Avg Insurance) '!$H$19="Annual",MOD(B67,12)=0),'Input-AF (Avg Insurance) '!$J$19,IF(AND('Input-AF (Avg Insurance) '!$H$19="1st Installment",B67=1),'Input-AF (Avg Insurance) '!$J$19,IF('Input-AF (Avg Insurance) '!$H$19="Monthly",'Input-AF (Avg Insurance) '!$J$19,""))),""))," ")</f>
        <v>552</v>
      </c>
      <c r="M67" s="6" t="str">
        <f>IF(B67&lt;&gt;"",IF(AND('Input-AF (Avg Insurance) '!$H$20="Annual",MOD(B67,12)=0),'Input-AF (Avg Insurance) '!$J$20,IF(AND('Input-AF (Avg Insurance) '!$H$20="1st Installment",B67=1),'Input-AF (Avg Insurance) '!$J$20,IF('Input-AF (Avg Insurance) '!$H$20="Monthly",'Input-AF (Avg Insurance) '!$J$20,IF(AND('Input-AF (Avg Insurance) '!$H$20="End of the loan",B67='Input-AF (Avg Insurance) '!$E$22),'Input-AF (Avg Insurance) '!$J$20,"")))),"")</f>
        <v/>
      </c>
      <c r="N67" s="6">
        <f t="shared" si="13"/>
        <v>552</v>
      </c>
      <c r="O67" s="4">
        <f t="shared" si="1"/>
        <v>6240.8998620199272</v>
      </c>
      <c r="S67" s="9">
        <f t="shared" si="2"/>
        <v>46078</v>
      </c>
      <c r="T67" s="5">
        <f t="shared" si="7"/>
        <v>6240.9</v>
      </c>
      <c r="V67" s="105"/>
    </row>
    <row r="68" spans="1:22">
      <c r="A68" s="1">
        <f t="shared" si="16"/>
        <v>5</v>
      </c>
      <c r="B68" s="16">
        <f t="shared" si="8"/>
        <v>51</v>
      </c>
      <c r="C68" s="9">
        <f t="shared" si="14"/>
        <v>46106</v>
      </c>
      <c r="D68" s="6">
        <f>IFERROR(PPMT('Input-AF (Avg Insurance) '!$E$18/12,B68,$C$6,'Input-AF (Avg Insurance) '!$E$17,-$C$13,0)," ")</f>
        <v>-5448.1558146484977</v>
      </c>
      <c r="E68" s="6">
        <f>IFERROR(IPMT('Input-AF (Avg Insurance) '!$E$18/12,B68,$C$6,'Input-AF (Avg Insurance) '!$E$17,-$C$13,0)," ")</f>
        <v>-240.74404737142876</v>
      </c>
      <c r="F68" s="6">
        <f t="shared" si="9"/>
        <v>-249891.83719047258</v>
      </c>
      <c r="G68" s="6">
        <f t="shared" si="10"/>
        <v>-40242.055772543652</v>
      </c>
      <c r="H68" s="6">
        <f t="shared" si="5"/>
        <v>-5688.8998620199263</v>
      </c>
      <c r="I68" s="6">
        <f t="shared" si="6"/>
        <v>50108.162809527421</v>
      </c>
      <c r="J68" s="6" t="str">
        <f>IF(B68&lt;&gt;"",IF(AND('Input-AF (Avg Insurance) '!$H$17="Annual",MOD(B68,12)=0),'Input-AF (Avg Insurance) '!$J$17,IF(AND('Input-AF (Avg Insurance) '!$H$17="1st Installment",B68=1),'Input-AF (Avg Insurance) '!$J$17,IF('Input-AF (Avg Insurance) '!$H$17="Monthly",'Input-AF (Avg Insurance) '!$J$17,""))),"")</f>
        <v/>
      </c>
      <c r="K68" s="6" t="str">
        <f>IF(B68&lt;&gt;"",IF(AND('Input-AF (Avg Insurance) '!$H$18="Annual",MOD(B68,12)=0),'Input-AF (Avg Insurance) '!$J$18,IF(AND('Input-AF (Avg Insurance) '!$H$18="1st Installment",B68=1),'Input-AF (Avg Insurance) '!$J$18,IF('Input-AF (Avg Insurance) '!$H$18="Monthly",'Input-AF (Avg Insurance) '!$J$18,""))),"")</f>
        <v/>
      </c>
      <c r="L68" s="6">
        <f>IF(B68&lt;=$C$6,(IF(B68&lt;&gt;"",IF(AND('Input-AF (Avg Insurance) '!$H$19="Annual",MOD(B68,12)=0),'Input-AF (Avg Insurance) '!$J$19,IF(AND('Input-AF (Avg Insurance) '!$H$19="1st Installment",B68=1),'Input-AF (Avg Insurance) '!$J$19,IF('Input-AF (Avg Insurance) '!$H$19="Monthly",'Input-AF (Avg Insurance) '!$J$19,""))),""))," ")</f>
        <v>552</v>
      </c>
      <c r="M68" s="6" t="str">
        <f>IF(B68&lt;&gt;"",IF(AND('Input-AF (Avg Insurance) '!$H$20="Annual",MOD(B68,12)=0),'Input-AF (Avg Insurance) '!$J$20,IF(AND('Input-AF (Avg Insurance) '!$H$20="1st Installment",B68=1),'Input-AF (Avg Insurance) '!$J$20,IF('Input-AF (Avg Insurance) '!$H$20="Monthly",'Input-AF (Avg Insurance) '!$J$20,IF(AND('Input-AF (Avg Insurance) '!$H$20="End of the loan",B68='Input-AF (Avg Insurance) '!$E$22),'Input-AF (Avg Insurance) '!$J$20,"")))),"")</f>
        <v/>
      </c>
      <c r="N68" s="6">
        <f t="shared" si="13"/>
        <v>552</v>
      </c>
      <c r="O68" s="4">
        <f t="shared" si="1"/>
        <v>6240.8998620199263</v>
      </c>
      <c r="S68" s="9">
        <f t="shared" si="2"/>
        <v>46106</v>
      </c>
      <c r="T68" s="5">
        <f t="shared" si="7"/>
        <v>6240.9</v>
      </c>
      <c r="V68" s="105"/>
    </row>
    <row r="69" spans="1:22">
      <c r="A69" s="1">
        <f t="shared" si="16"/>
        <v>5</v>
      </c>
      <c r="B69" s="16">
        <f t="shared" si="8"/>
        <v>52</v>
      </c>
      <c r="C69" s="9">
        <f t="shared" si="14"/>
        <v>46137</v>
      </c>
      <c r="D69" s="6">
        <f>IFERROR(PPMT('Input-AF (Avg Insurance) '!$E$18/12,B69,$C$6,'Input-AF (Avg Insurance) '!$E$17,-$C$13,0)," ")</f>
        <v>-5471.7644898453073</v>
      </c>
      <c r="E69" s="6">
        <f>IFERROR(IPMT('Input-AF (Avg Insurance) '!$E$18/12,B69,$C$6,'Input-AF (Avg Insurance) '!$E$17,-$C$13,0)," ")</f>
        <v>-217.13537217461862</v>
      </c>
      <c r="F69" s="6">
        <f t="shared" si="9"/>
        <v>-255363.60168031789</v>
      </c>
      <c r="G69" s="6">
        <f t="shared" si="10"/>
        <v>-40459.191144718272</v>
      </c>
      <c r="H69" s="6">
        <f t="shared" si="5"/>
        <v>-5688.8998620199254</v>
      </c>
      <c r="I69" s="6">
        <f t="shared" si="6"/>
        <v>44636.398319682106</v>
      </c>
      <c r="J69" s="6" t="str">
        <f>IF(B69&lt;&gt;"",IF(AND('Input-AF (Avg Insurance) '!$H$17="Annual",MOD(B69,12)=0),'Input-AF (Avg Insurance) '!$J$17,IF(AND('Input-AF (Avg Insurance) '!$H$17="1st Installment",B69=1),'Input-AF (Avg Insurance) '!$J$17,IF('Input-AF (Avg Insurance) '!$H$17="Monthly",'Input-AF (Avg Insurance) '!$J$17,""))),"")</f>
        <v/>
      </c>
      <c r="K69" s="6" t="str">
        <f>IF(B69&lt;&gt;"",IF(AND('Input-AF (Avg Insurance) '!$H$18="Annual",MOD(B69,12)=0),'Input-AF (Avg Insurance) '!$J$18,IF(AND('Input-AF (Avg Insurance) '!$H$18="1st Installment",B69=1),'Input-AF (Avg Insurance) '!$J$18,IF('Input-AF (Avg Insurance) '!$H$18="Monthly",'Input-AF (Avg Insurance) '!$J$18,""))),"")</f>
        <v/>
      </c>
      <c r="L69" s="6">
        <f>IF(B69&lt;=$C$6,(IF(B69&lt;&gt;"",IF(AND('Input-AF (Avg Insurance) '!$H$19="Annual",MOD(B69,12)=0),'Input-AF (Avg Insurance) '!$J$19,IF(AND('Input-AF (Avg Insurance) '!$H$19="1st Installment",B69=1),'Input-AF (Avg Insurance) '!$J$19,IF('Input-AF (Avg Insurance) '!$H$19="Monthly",'Input-AF (Avg Insurance) '!$J$19,""))),""))," ")</f>
        <v>552</v>
      </c>
      <c r="M69" s="6" t="str">
        <f>IF(B69&lt;&gt;"",IF(AND('Input-AF (Avg Insurance) '!$H$20="Annual",MOD(B69,12)=0),'Input-AF (Avg Insurance) '!$J$20,IF(AND('Input-AF (Avg Insurance) '!$H$20="1st Installment",B69=1),'Input-AF (Avg Insurance) '!$J$20,IF('Input-AF (Avg Insurance) '!$H$20="Monthly",'Input-AF (Avg Insurance) '!$J$20,IF(AND('Input-AF (Avg Insurance) '!$H$20="End of the loan",B69='Input-AF (Avg Insurance) '!$E$22),'Input-AF (Avg Insurance) '!$J$20,"")))),"")</f>
        <v/>
      </c>
      <c r="N69" s="6">
        <f t="shared" si="13"/>
        <v>552</v>
      </c>
      <c r="O69" s="4">
        <f t="shared" si="1"/>
        <v>6240.8998620199254</v>
      </c>
      <c r="S69" s="9">
        <f t="shared" si="2"/>
        <v>46137</v>
      </c>
      <c r="T69" s="5">
        <f t="shared" si="7"/>
        <v>6240.9</v>
      </c>
      <c r="V69" s="105"/>
    </row>
    <row r="70" spans="1:22">
      <c r="A70" s="1">
        <f t="shared" si="16"/>
        <v>5</v>
      </c>
      <c r="B70" s="16">
        <f t="shared" si="8"/>
        <v>53</v>
      </c>
      <c r="C70" s="9">
        <f t="shared" si="14"/>
        <v>46167</v>
      </c>
      <c r="D70" s="6">
        <f>IFERROR(PPMT('Input-AF (Avg Insurance) '!$E$18/12,B70,$C$6,'Input-AF (Avg Insurance) '!$E$17,-$C$13,0)," ")</f>
        <v>-5495.4754693013047</v>
      </c>
      <c r="E70" s="6">
        <f>IFERROR(IPMT('Input-AF (Avg Insurance) '!$E$18/12,B70,$C$6,'Input-AF (Avg Insurance) '!$E$17,-$C$13,0)," ")</f>
        <v>-193.4243927186223</v>
      </c>
      <c r="F70" s="6">
        <f t="shared" si="9"/>
        <v>-260859.0771496192</v>
      </c>
      <c r="G70" s="6">
        <f t="shared" si="10"/>
        <v>-40652.615537436897</v>
      </c>
      <c r="H70" s="6">
        <f t="shared" si="5"/>
        <v>-5688.8998620199272</v>
      </c>
      <c r="I70" s="6">
        <f t="shared" si="6"/>
        <v>39140.922850380797</v>
      </c>
      <c r="J70" s="6" t="str">
        <f>IF(B70&lt;&gt;"",IF(AND('Input-AF (Avg Insurance) '!$H$17="Annual",MOD(B70,12)=0),'Input-AF (Avg Insurance) '!$J$17,IF(AND('Input-AF (Avg Insurance) '!$H$17="1st Installment",B70=1),'Input-AF (Avg Insurance) '!$J$17,IF('Input-AF (Avg Insurance) '!$H$17="Monthly",'Input-AF (Avg Insurance) '!$J$17,""))),"")</f>
        <v/>
      </c>
      <c r="K70" s="6" t="str">
        <f>IF(B70&lt;&gt;"",IF(AND('Input-AF (Avg Insurance) '!$H$18="Annual",MOD(B70,12)=0),'Input-AF (Avg Insurance) '!$J$18,IF(AND('Input-AF (Avg Insurance) '!$H$18="1st Installment",B70=1),'Input-AF (Avg Insurance) '!$J$18,IF('Input-AF (Avg Insurance) '!$H$18="Monthly",'Input-AF (Avg Insurance) '!$J$18,""))),"")</f>
        <v/>
      </c>
      <c r="L70" s="6">
        <f>IF(B70&lt;=$C$6,(IF(B70&lt;&gt;"",IF(AND('Input-AF (Avg Insurance) '!$H$19="Annual",MOD(B70,12)=0),'Input-AF (Avg Insurance) '!$J$19,IF(AND('Input-AF (Avg Insurance) '!$H$19="1st Installment",B70=1),'Input-AF (Avg Insurance) '!$J$19,IF('Input-AF (Avg Insurance) '!$H$19="Monthly",'Input-AF (Avg Insurance) '!$J$19,""))),""))," ")</f>
        <v>552</v>
      </c>
      <c r="M70" s="6" t="str">
        <f>IF(B70&lt;&gt;"",IF(AND('Input-AF (Avg Insurance) '!$H$20="Annual",MOD(B70,12)=0),'Input-AF (Avg Insurance) '!$J$20,IF(AND('Input-AF (Avg Insurance) '!$H$20="1st Installment",B70=1),'Input-AF (Avg Insurance) '!$J$20,IF('Input-AF (Avg Insurance) '!$H$20="Monthly",'Input-AF (Avg Insurance) '!$J$20,IF(AND('Input-AF (Avg Insurance) '!$H$20="End of the loan",B70='Input-AF (Avg Insurance) '!$E$22),'Input-AF (Avg Insurance) '!$J$20,"")))),"")</f>
        <v/>
      </c>
      <c r="N70" s="6">
        <f t="shared" si="13"/>
        <v>552</v>
      </c>
      <c r="O70" s="4">
        <f t="shared" si="1"/>
        <v>6240.8998620199272</v>
      </c>
      <c r="S70" s="9">
        <f t="shared" si="2"/>
        <v>46167</v>
      </c>
      <c r="T70" s="5">
        <f t="shared" si="7"/>
        <v>6240.9</v>
      </c>
      <c r="V70" s="105"/>
    </row>
    <row r="71" spans="1:22">
      <c r="A71" s="1">
        <f t="shared" si="16"/>
        <v>5</v>
      </c>
      <c r="B71" s="16">
        <f t="shared" si="8"/>
        <v>54</v>
      </c>
      <c r="C71" s="9">
        <f t="shared" si="14"/>
        <v>46198</v>
      </c>
      <c r="D71" s="6">
        <f>IFERROR(PPMT('Input-AF (Avg Insurance) '!$E$18/12,B71,$C$6,'Input-AF (Avg Insurance) '!$E$17,-$C$13,0)," ")</f>
        <v>-5519.2891963349439</v>
      </c>
      <c r="E71" s="6">
        <f>IFERROR(IPMT('Input-AF (Avg Insurance) '!$E$18/12,B71,$C$6,'Input-AF (Avg Insurance) '!$E$17,-$C$13,0)," ")</f>
        <v>-169.6106656849833</v>
      </c>
      <c r="F71" s="6">
        <f t="shared" si="9"/>
        <v>-266378.36634595413</v>
      </c>
      <c r="G71" s="6">
        <f t="shared" si="10"/>
        <v>-40822.226203121878</v>
      </c>
      <c r="H71" s="6">
        <f t="shared" si="5"/>
        <v>-5688.8998620199272</v>
      </c>
      <c r="I71" s="6">
        <f t="shared" si="6"/>
        <v>33621.633654045872</v>
      </c>
      <c r="J71" s="6" t="str">
        <f>IF(B71&lt;&gt;"",IF(AND('Input-AF (Avg Insurance) '!$H$17="Annual",MOD(B71,12)=0),'Input-AF (Avg Insurance) '!$J$17,IF(AND('Input-AF (Avg Insurance) '!$H$17="1st Installment",B71=1),'Input-AF (Avg Insurance) '!$J$17,IF('Input-AF (Avg Insurance) '!$H$17="Monthly",'Input-AF (Avg Insurance) '!$J$17,""))),"")</f>
        <v/>
      </c>
      <c r="K71" s="6" t="str">
        <f>IF(B71&lt;&gt;"",IF(AND('Input-AF (Avg Insurance) '!$H$18="Annual",MOD(B71,12)=0),'Input-AF (Avg Insurance) '!$J$18,IF(AND('Input-AF (Avg Insurance) '!$H$18="1st Installment",B71=1),'Input-AF (Avg Insurance) '!$J$18,IF('Input-AF (Avg Insurance) '!$H$18="Monthly",'Input-AF (Avg Insurance) '!$J$18,""))),"")</f>
        <v/>
      </c>
      <c r="L71" s="6">
        <f>IF(B71&lt;=$C$6,(IF(B71&lt;&gt;"",IF(AND('Input-AF (Avg Insurance) '!$H$19="Annual",MOD(B71,12)=0),'Input-AF (Avg Insurance) '!$J$19,IF(AND('Input-AF (Avg Insurance) '!$H$19="1st Installment",B71=1),'Input-AF (Avg Insurance) '!$J$19,IF('Input-AF (Avg Insurance) '!$H$19="Monthly",'Input-AF (Avg Insurance) '!$J$19,""))),""))," ")</f>
        <v>552</v>
      </c>
      <c r="M71" s="6" t="str">
        <f>IF(B71&lt;&gt;"",IF(AND('Input-AF (Avg Insurance) '!$H$20="Annual",MOD(B71,12)=0),'Input-AF (Avg Insurance) '!$J$20,IF(AND('Input-AF (Avg Insurance) '!$H$20="1st Installment",B71=1),'Input-AF (Avg Insurance) '!$J$20,IF('Input-AF (Avg Insurance) '!$H$20="Monthly",'Input-AF (Avg Insurance) '!$J$20,IF(AND('Input-AF (Avg Insurance) '!$H$20="End of the loan",B71='Input-AF (Avg Insurance) '!$E$22),'Input-AF (Avg Insurance) '!$J$20,"")))),"")</f>
        <v/>
      </c>
      <c r="N71" s="6">
        <f t="shared" si="13"/>
        <v>552</v>
      </c>
      <c r="O71" s="4">
        <f t="shared" si="1"/>
        <v>6240.8998620199272</v>
      </c>
      <c r="S71" s="9">
        <f t="shared" si="2"/>
        <v>46198</v>
      </c>
      <c r="T71" s="5">
        <f t="shared" si="7"/>
        <v>6240.9</v>
      </c>
      <c r="V71" s="105"/>
    </row>
    <row r="72" spans="1:22">
      <c r="A72" s="1">
        <f t="shared" si="16"/>
        <v>5</v>
      </c>
      <c r="B72" s="16">
        <f t="shared" si="8"/>
        <v>55</v>
      </c>
      <c r="C72" s="9">
        <f t="shared" si="14"/>
        <v>46228</v>
      </c>
      <c r="D72" s="6">
        <f>IFERROR(PPMT('Input-AF (Avg Insurance) '!$E$18/12,B72,$C$6,'Input-AF (Avg Insurance) '!$E$17,-$C$13,0)," ")</f>
        <v>-5543.2061161857282</v>
      </c>
      <c r="E72" s="6">
        <f>IFERROR(IPMT('Input-AF (Avg Insurance) '!$E$18/12,B72,$C$6,'Input-AF (Avg Insurance) '!$E$17,-$C$13,0)," ")</f>
        <v>-145.69374583419858</v>
      </c>
      <c r="F72" s="6">
        <f t="shared" si="9"/>
        <v>-271921.57246213988</v>
      </c>
      <c r="G72" s="6">
        <f t="shared" si="10"/>
        <v>-40967.919948956078</v>
      </c>
      <c r="H72" s="6">
        <f t="shared" si="5"/>
        <v>-5688.8998620199272</v>
      </c>
      <c r="I72" s="6">
        <f t="shared" si="6"/>
        <v>28078.427537860116</v>
      </c>
      <c r="J72" s="6" t="str">
        <f>IF(B72&lt;&gt;"",IF(AND('Input-AF (Avg Insurance) '!$H$17="Annual",MOD(B72,12)=0),'Input-AF (Avg Insurance) '!$J$17,IF(AND('Input-AF (Avg Insurance) '!$H$17="1st Installment",B72=1),'Input-AF (Avg Insurance) '!$J$17,IF('Input-AF (Avg Insurance) '!$H$17="Monthly",'Input-AF (Avg Insurance) '!$J$17,""))),"")</f>
        <v/>
      </c>
      <c r="K72" s="6" t="str">
        <f>IF(B72&lt;&gt;"",IF(AND('Input-AF (Avg Insurance) '!$H$18="Annual",MOD(B72,12)=0),'Input-AF (Avg Insurance) '!$J$18,IF(AND('Input-AF (Avg Insurance) '!$H$18="1st Installment",B72=1),'Input-AF (Avg Insurance) '!$J$18,IF('Input-AF (Avg Insurance) '!$H$18="Monthly",'Input-AF (Avg Insurance) '!$J$18,""))),"")</f>
        <v/>
      </c>
      <c r="L72" s="6">
        <f>IF(B72&lt;=$C$6,(IF(B72&lt;&gt;"",IF(AND('Input-AF (Avg Insurance) '!$H$19="Annual",MOD(B72,12)=0),'Input-AF (Avg Insurance) '!$J$19,IF(AND('Input-AF (Avg Insurance) '!$H$19="1st Installment",B72=1),'Input-AF (Avg Insurance) '!$J$19,IF('Input-AF (Avg Insurance) '!$H$19="Monthly",'Input-AF (Avg Insurance) '!$J$19,""))),""))," ")</f>
        <v>552</v>
      </c>
      <c r="M72" s="6" t="str">
        <f>IF(B72&lt;&gt;"",IF(AND('Input-AF (Avg Insurance) '!$H$20="Annual",MOD(B72,12)=0),'Input-AF (Avg Insurance) '!$J$20,IF(AND('Input-AF (Avg Insurance) '!$H$20="1st Installment",B72=1),'Input-AF (Avg Insurance) '!$J$20,IF('Input-AF (Avg Insurance) '!$H$20="Monthly",'Input-AF (Avg Insurance) '!$J$20,IF(AND('Input-AF (Avg Insurance) '!$H$20="End of the loan",B72='Input-AF (Avg Insurance) '!$E$22),'Input-AF (Avg Insurance) '!$J$20,"")))),"")</f>
        <v/>
      </c>
      <c r="N72" s="6">
        <f t="shared" si="13"/>
        <v>552</v>
      </c>
      <c r="O72" s="4">
        <f t="shared" si="1"/>
        <v>6240.8998620199272</v>
      </c>
      <c r="S72" s="9">
        <f t="shared" si="2"/>
        <v>46228</v>
      </c>
      <c r="T72" s="5">
        <f t="shared" si="7"/>
        <v>6240.9</v>
      </c>
      <c r="V72" s="105"/>
    </row>
    <row r="73" spans="1:22">
      <c r="A73" s="1">
        <f t="shared" si="16"/>
        <v>5</v>
      </c>
      <c r="B73" s="16">
        <f t="shared" si="8"/>
        <v>56</v>
      </c>
      <c r="C73" s="9">
        <f t="shared" si="14"/>
        <v>46259</v>
      </c>
      <c r="D73" s="6">
        <f>IFERROR(PPMT('Input-AF (Avg Insurance) '!$E$18/12,B73,$C$6,'Input-AF (Avg Insurance) '!$E$17,-$C$13,0)," ")</f>
        <v>-5567.226676022533</v>
      </c>
      <c r="E73" s="6">
        <f>IFERROR(IPMT('Input-AF (Avg Insurance) '!$E$18/12,B73,$C$6,'Input-AF (Avg Insurance) '!$E$17,-$C$13,0)," ")</f>
        <v>-121.67318599739377</v>
      </c>
      <c r="F73" s="6">
        <f t="shared" si="9"/>
        <v>-277488.7991381624</v>
      </c>
      <c r="G73" s="6">
        <f t="shared" si="10"/>
        <v>-41089.593134953473</v>
      </c>
      <c r="H73" s="6">
        <f t="shared" si="5"/>
        <v>-5688.8998620199263</v>
      </c>
      <c r="I73" s="6">
        <f t="shared" si="6"/>
        <v>22511.200861837598</v>
      </c>
      <c r="J73" s="6" t="str">
        <f>IF(B73&lt;&gt;"",IF(AND('Input-AF (Avg Insurance) '!$H$17="Annual",MOD(B73,12)=0),'Input-AF (Avg Insurance) '!$J$17,IF(AND('Input-AF (Avg Insurance) '!$H$17="1st Installment",B73=1),'Input-AF (Avg Insurance) '!$J$17,IF('Input-AF (Avg Insurance) '!$H$17="Monthly",'Input-AF (Avg Insurance) '!$J$17,""))),"")</f>
        <v/>
      </c>
      <c r="K73" s="6" t="str">
        <f>IF(B73&lt;&gt;"",IF(AND('Input-AF (Avg Insurance) '!$H$18="Annual",MOD(B73,12)=0),'Input-AF (Avg Insurance) '!$J$18,IF(AND('Input-AF (Avg Insurance) '!$H$18="1st Installment",B73=1),'Input-AF (Avg Insurance) '!$J$18,IF('Input-AF (Avg Insurance) '!$H$18="Monthly",'Input-AF (Avg Insurance) '!$J$18,""))),"")</f>
        <v/>
      </c>
      <c r="L73" s="6">
        <f>IF(B73&lt;=$C$6,(IF(B73&lt;&gt;"",IF(AND('Input-AF (Avg Insurance) '!$H$19="Annual",MOD(B73,12)=0),'Input-AF (Avg Insurance) '!$J$19,IF(AND('Input-AF (Avg Insurance) '!$H$19="1st Installment",B73=1),'Input-AF (Avg Insurance) '!$J$19,IF('Input-AF (Avg Insurance) '!$H$19="Monthly",'Input-AF (Avg Insurance) '!$J$19,""))),""))," ")</f>
        <v>552</v>
      </c>
      <c r="M73" s="6" t="str">
        <f>IF(B73&lt;&gt;"",IF(AND('Input-AF (Avg Insurance) '!$H$20="Annual",MOD(B73,12)=0),'Input-AF (Avg Insurance) '!$J$20,IF(AND('Input-AF (Avg Insurance) '!$H$20="1st Installment",B73=1),'Input-AF (Avg Insurance) '!$J$20,IF('Input-AF (Avg Insurance) '!$H$20="Monthly",'Input-AF (Avg Insurance) '!$J$20,IF(AND('Input-AF (Avg Insurance) '!$H$20="End of the loan",B73='Input-AF (Avg Insurance) '!$E$22),'Input-AF (Avg Insurance) '!$J$20,"")))),"")</f>
        <v/>
      </c>
      <c r="N73" s="6">
        <f t="shared" si="13"/>
        <v>552</v>
      </c>
      <c r="O73" s="4">
        <f t="shared" si="1"/>
        <v>6240.8998620199263</v>
      </c>
      <c r="S73" s="9">
        <f t="shared" si="2"/>
        <v>46259</v>
      </c>
      <c r="T73" s="5">
        <f t="shared" si="7"/>
        <v>6240.9</v>
      </c>
      <c r="V73" s="105"/>
    </row>
    <row r="74" spans="1:22">
      <c r="A74" s="1">
        <f t="shared" si="16"/>
        <v>5</v>
      </c>
      <c r="B74" s="16">
        <f t="shared" si="8"/>
        <v>57</v>
      </c>
      <c r="C74" s="9">
        <f t="shared" si="14"/>
        <v>46290</v>
      </c>
      <c r="D74" s="6">
        <f>IFERROR(PPMT('Input-AF (Avg Insurance) '!$E$18/12,B74,$C$6,'Input-AF (Avg Insurance) '!$E$17,-$C$13,0)," ")</f>
        <v>-5591.3513249519647</v>
      </c>
      <c r="E74" s="6">
        <f>IFERROR(IPMT('Input-AF (Avg Insurance) '!$E$18/12,B74,$C$6,'Input-AF (Avg Insurance) '!$E$17,-$C$13,0)," ")</f>
        <v>-97.548537067962783</v>
      </c>
      <c r="F74" s="6">
        <f t="shared" si="9"/>
        <v>-283080.15046311438</v>
      </c>
      <c r="G74" s="6">
        <f t="shared" si="10"/>
        <v>-41187.141672021433</v>
      </c>
      <c r="H74" s="6">
        <f t="shared" si="5"/>
        <v>-5688.8998620199272</v>
      </c>
      <c r="I74" s="6">
        <f t="shared" si="6"/>
        <v>16919.849536885624</v>
      </c>
      <c r="J74" s="6" t="str">
        <f>IF(B74&lt;&gt;"",IF(AND('Input-AF (Avg Insurance) '!$H$17="Annual",MOD(B74,12)=0),'Input-AF (Avg Insurance) '!$J$17,IF(AND('Input-AF (Avg Insurance) '!$H$17="1st Installment",B74=1),'Input-AF (Avg Insurance) '!$J$17,IF('Input-AF (Avg Insurance) '!$H$17="Monthly",'Input-AF (Avg Insurance) '!$J$17,""))),"")</f>
        <v/>
      </c>
      <c r="K74" s="6" t="str">
        <f>IF(B74&lt;&gt;"",IF(AND('Input-AF (Avg Insurance) '!$H$18="Annual",MOD(B74,12)=0),'Input-AF (Avg Insurance) '!$J$18,IF(AND('Input-AF (Avg Insurance) '!$H$18="1st Installment",B74=1),'Input-AF (Avg Insurance) '!$J$18,IF('Input-AF (Avg Insurance) '!$H$18="Monthly",'Input-AF (Avg Insurance) '!$J$18,""))),"")</f>
        <v/>
      </c>
      <c r="L74" s="6">
        <f>IF(B74&lt;=$C$6,(IF(B74&lt;&gt;"",IF(AND('Input-AF (Avg Insurance) '!$H$19="Annual",MOD(B74,12)=0),'Input-AF (Avg Insurance) '!$J$19,IF(AND('Input-AF (Avg Insurance) '!$H$19="1st Installment",B74=1),'Input-AF (Avg Insurance) '!$J$19,IF('Input-AF (Avg Insurance) '!$H$19="Monthly",'Input-AF (Avg Insurance) '!$J$19,""))),""))," ")</f>
        <v>552</v>
      </c>
      <c r="M74" s="6" t="str">
        <f>IF(B74&lt;&gt;"",IF(AND('Input-AF (Avg Insurance) '!$H$20="Annual",MOD(B74,12)=0),'Input-AF (Avg Insurance) '!$J$20,IF(AND('Input-AF (Avg Insurance) '!$H$20="1st Installment",B74=1),'Input-AF (Avg Insurance) '!$J$20,IF('Input-AF (Avg Insurance) '!$H$20="Monthly",'Input-AF (Avg Insurance) '!$J$20,IF(AND('Input-AF (Avg Insurance) '!$H$20="End of the loan",B74='Input-AF (Avg Insurance) '!$E$22),'Input-AF (Avg Insurance) '!$J$20,"")))),"")</f>
        <v/>
      </c>
      <c r="N74" s="6">
        <f t="shared" si="13"/>
        <v>552</v>
      </c>
      <c r="O74" s="4">
        <f t="shared" si="1"/>
        <v>6240.8998620199272</v>
      </c>
      <c r="S74" s="9">
        <f t="shared" si="2"/>
        <v>46290</v>
      </c>
      <c r="T74" s="5">
        <f t="shared" si="7"/>
        <v>6240.9</v>
      </c>
      <c r="V74" s="105"/>
    </row>
    <row r="75" spans="1:22">
      <c r="A75" s="1">
        <f t="shared" si="16"/>
        <v>5</v>
      </c>
      <c r="B75" s="16">
        <f t="shared" si="8"/>
        <v>58</v>
      </c>
      <c r="C75" s="9">
        <f t="shared" si="14"/>
        <v>46320</v>
      </c>
      <c r="D75" s="6">
        <f>IFERROR(PPMT('Input-AF (Avg Insurance) '!$E$18/12,B75,$C$6,'Input-AF (Avg Insurance) '!$E$17,-$C$13,0)," ")</f>
        <v>-5615.5805140267566</v>
      </c>
      <c r="E75" s="6">
        <f>IFERROR(IPMT('Input-AF (Avg Insurance) '!$E$18/12,B75,$C$6,'Input-AF (Avg Insurance) '!$E$17,-$C$13,0)," ")</f>
        <v>-73.319347993170922</v>
      </c>
      <c r="F75" s="6">
        <f t="shared" si="9"/>
        <v>-288695.73097714112</v>
      </c>
      <c r="G75" s="6">
        <f t="shared" si="10"/>
        <v>-41260.461020014605</v>
      </c>
      <c r="H75" s="6">
        <f t="shared" si="5"/>
        <v>-5688.8998620199272</v>
      </c>
      <c r="I75" s="6">
        <f t="shared" si="6"/>
        <v>11304.269022858876</v>
      </c>
      <c r="J75" s="6" t="str">
        <f>IF(B75&lt;&gt;"",IF(AND('Input-AF (Avg Insurance) '!$H$17="Annual",MOD(B75,12)=0),'Input-AF (Avg Insurance) '!$J$17,IF(AND('Input-AF (Avg Insurance) '!$H$17="1st Installment",B75=1),'Input-AF (Avg Insurance) '!$J$17,IF('Input-AF (Avg Insurance) '!$H$17="Monthly",'Input-AF (Avg Insurance) '!$J$17,""))),"")</f>
        <v/>
      </c>
      <c r="K75" s="6" t="str">
        <f>IF(B75&lt;&gt;"",IF(AND('Input-AF (Avg Insurance) '!$H$18="Annual",MOD(B75,12)=0),'Input-AF (Avg Insurance) '!$J$18,IF(AND('Input-AF (Avg Insurance) '!$H$18="1st Installment",B75=1),'Input-AF (Avg Insurance) '!$J$18,IF('Input-AF (Avg Insurance) '!$H$18="Monthly",'Input-AF (Avg Insurance) '!$J$18,""))),"")</f>
        <v/>
      </c>
      <c r="L75" s="6">
        <f>IF(B75&lt;=$C$6,(IF(B75&lt;&gt;"",IF(AND('Input-AF (Avg Insurance) '!$H$19="Annual",MOD(B75,12)=0),'Input-AF (Avg Insurance) '!$J$19,IF(AND('Input-AF (Avg Insurance) '!$H$19="1st Installment",B75=1),'Input-AF (Avg Insurance) '!$J$19,IF('Input-AF (Avg Insurance) '!$H$19="Monthly",'Input-AF (Avg Insurance) '!$J$19,""))),""))," ")</f>
        <v>552</v>
      </c>
      <c r="M75" s="6" t="str">
        <f>IF(B75&lt;&gt;"",IF(AND('Input-AF (Avg Insurance) '!$H$20="Annual",MOD(B75,12)=0),'Input-AF (Avg Insurance) '!$J$20,IF(AND('Input-AF (Avg Insurance) '!$H$20="1st Installment",B75=1),'Input-AF (Avg Insurance) '!$J$20,IF('Input-AF (Avg Insurance) '!$H$20="Monthly",'Input-AF (Avg Insurance) '!$J$20,IF(AND('Input-AF (Avg Insurance) '!$H$20="End of the loan",B75='Input-AF (Avg Insurance) '!$E$22),'Input-AF (Avg Insurance) '!$J$20,"")))),"")</f>
        <v/>
      </c>
      <c r="N75" s="6">
        <f t="shared" si="13"/>
        <v>552</v>
      </c>
      <c r="O75" s="4">
        <f t="shared" si="1"/>
        <v>6240.8998620199272</v>
      </c>
      <c r="S75" s="9">
        <f t="shared" si="2"/>
        <v>46320</v>
      </c>
      <c r="T75" s="5">
        <f t="shared" si="7"/>
        <v>6240.9</v>
      </c>
      <c r="V75" s="105"/>
    </row>
    <row r="76" spans="1:22">
      <c r="A76" s="1">
        <f t="shared" si="16"/>
        <v>5</v>
      </c>
      <c r="B76" s="16">
        <f t="shared" si="8"/>
        <v>59</v>
      </c>
      <c r="C76" s="9">
        <f t="shared" si="14"/>
        <v>46351</v>
      </c>
      <c r="D76" s="6">
        <f>IFERROR(PPMT('Input-AF (Avg Insurance) '!$E$18/12,B76,$C$6,'Input-AF (Avg Insurance) '!$E$17,-$C$13,0)," ")</f>
        <v>-5639.9146962542054</v>
      </c>
      <c r="E76" s="6">
        <f>IFERROR(IPMT('Input-AF (Avg Insurance) '!$E$18/12,B76,$C$6,'Input-AF (Avg Insurance) '!$E$17,-$C$13,0)," ")</f>
        <v>-48.985165765721653</v>
      </c>
      <c r="F76" s="6">
        <f t="shared" si="9"/>
        <v>-294335.64567339531</v>
      </c>
      <c r="G76" s="6">
        <f t="shared" si="10"/>
        <v>-41309.446185780325</v>
      </c>
      <c r="H76" s="6">
        <f t="shared" si="5"/>
        <v>-5688.8998620199272</v>
      </c>
      <c r="I76" s="6">
        <f t="shared" si="6"/>
        <v>5664.3543266046909</v>
      </c>
      <c r="J76" s="6" t="str">
        <f>IF(B76&lt;&gt;"",IF(AND('Input-AF (Avg Insurance) '!$H$17="Annual",MOD(B76,12)=0),'Input-AF (Avg Insurance) '!$J$17,IF(AND('Input-AF (Avg Insurance) '!$H$17="1st Installment",B76=1),'Input-AF (Avg Insurance) '!$J$17,IF('Input-AF (Avg Insurance) '!$H$17="Monthly",'Input-AF (Avg Insurance) '!$J$17,""))),"")</f>
        <v/>
      </c>
      <c r="K76" s="6" t="str">
        <f>IF(B76&lt;&gt;"",IF(AND('Input-AF (Avg Insurance) '!$H$18="Annual",MOD(B76,12)=0),'Input-AF (Avg Insurance) '!$J$18,IF(AND('Input-AF (Avg Insurance) '!$H$18="1st Installment",B76=1),'Input-AF (Avg Insurance) '!$J$18,IF('Input-AF (Avg Insurance) '!$H$18="Monthly",'Input-AF (Avg Insurance) '!$J$18,""))),"")</f>
        <v/>
      </c>
      <c r="L76" s="6">
        <f>IF(B76&lt;=$C$6,(IF(B76&lt;&gt;"",IF(AND('Input-AF (Avg Insurance) '!$H$19="Annual",MOD(B76,12)=0),'Input-AF (Avg Insurance) '!$J$19,IF(AND('Input-AF (Avg Insurance) '!$H$19="1st Installment",B76=1),'Input-AF (Avg Insurance) '!$J$19,IF('Input-AF (Avg Insurance) '!$H$19="Monthly",'Input-AF (Avg Insurance) '!$J$19,""))),""))," ")</f>
        <v>552</v>
      </c>
      <c r="M76" s="6" t="str">
        <f>IF(B76&lt;&gt;"",IF(AND('Input-AF (Avg Insurance) '!$H$20="Annual",MOD(B76,12)=0),'Input-AF (Avg Insurance) '!$J$20,IF(AND('Input-AF (Avg Insurance) '!$H$20="1st Installment",B76=1),'Input-AF (Avg Insurance) '!$J$20,IF('Input-AF (Avg Insurance) '!$H$20="Monthly",'Input-AF (Avg Insurance) '!$J$20,IF(AND('Input-AF (Avg Insurance) '!$H$20="End of the loan",B76='Input-AF (Avg Insurance) '!$E$22),'Input-AF (Avg Insurance) '!$J$20,"")))),"")</f>
        <v/>
      </c>
      <c r="N76" s="6">
        <f t="shared" si="13"/>
        <v>552</v>
      </c>
      <c r="O76" s="4">
        <f t="shared" si="1"/>
        <v>6240.8998620199272</v>
      </c>
      <c r="S76" s="9">
        <f t="shared" si="2"/>
        <v>46351</v>
      </c>
      <c r="T76" s="5">
        <f t="shared" si="7"/>
        <v>6240.9</v>
      </c>
      <c r="V76" s="105"/>
    </row>
    <row r="77" spans="1:22">
      <c r="A77" s="1">
        <f t="shared" si="16"/>
        <v>5</v>
      </c>
      <c r="B77" s="16">
        <f t="shared" si="8"/>
        <v>60</v>
      </c>
      <c r="C77" s="9">
        <f t="shared" si="14"/>
        <v>46381</v>
      </c>
      <c r="D77" s="6">
        <f>IFERROR(PPMT('Input-AF (Avg Insurance) '!$E$18/12,B77,$C$6,'Input-AF (Avg Insurance) '!$E$17,-$C$13,0)," ")</f>
        <v>-5664.3543266046399</v>
      </c>
      <c r="E77" s="6">
        <f>IFERROR(IPMT('Input-AF (Avg Insurance) '!$E$18/12,B77,$C$6,'Input-AF (Avg Insurance) '!$E$17,-$C$13,0)," ")</f>
        <v>-24.545535415286768</v>
      </c>
      <c r="F77" s="6">
        <f t="shared" si="9"/>
        <v>-299999.99999999994</v>
      </c>
      <c r="G77" s="6">
        <f t="shared" si="10"/>
        <v>-41333.991721195613</v>
      </c>
      <c r="H77" s="6">
        <f t="shared" si="5"/>
        <v>-5688.8998620199263</v>
      </c>
      <c r="I77" s="6">
        <f t="shared" si="6"/>
        <v>5.8207660913467407E-11</v>
      </c>
      <c r="J77" s="6" t="str">
        <f>IF(B77&lt;&gt;"",IF(AND('Input-AF (Avg Insurance) '!$H$17="Annual",MOD(B77,12)=0),'Input-AF (Avg Insurance) '!$J$17,IF(AND('Input-AF (Avg Insurance) '!$H$17="1st Installment",B77=1),'Input-AF (Avg Insurance) '!$J$17,IF('Input-AF (Avg Insurance) '!$H$17="Monthly",'Input-AF (Avg Insurance) '!$J$17,""))),"")</f>
        <v/>
      </c>
      <c r="K77" s="6" t="str">
        <f>IF(B77&lt;&gt;"",IF(AND('Input-AF (Avg Insurance) '!$H$18="Annual",MOD(B77,12)=0),'Input-AF (Avg Insurance) '!$J$18,IF(AND('Input-AF (Avg Insurance) '!$H$18="1st Installment",B77=1),'Input-AF (Avg Insurance) '!$J$18,IF('Input-AF (Avg Insurance) '!$H$18="Monthly",'Input-AF (Avg Insurance) '!$J$18,""))),"")</f>
        <v/>
      </c>
      <c r="L77" s="6">
        <f>IF(B77&lt;=$C$6,(IF(B77&lt;&gt;"",IF(AND('Input-AF (Avg Insurance) '!$H$19="Annual",MOD(B77,12)=0),'Input-AF (Avg Insurance) '!$J$19,IF(AND('Input-AF (Avg Insurance) '!$H$19="1st Installment",B77=1),'Input-AF (Avg Insurance) '!$J$19,IF('Input-AF (Avg Insurance) '!$H$19="Monthly",'Input-AF (Avg Insurance) '!$J$19,""))),""))," ")</f>
        <v>552</v>
      </c>
      <c r="M77" s="6" t="str">
        <f>IF(B77&lt;&gt;"",IF(AND('Input-AF (Avg Insurance) '!$H$20="Annual",MOD(B77,12)=0),'Input-AF (Avg Insurance) '!$J$20,IF(AND('Input-AF (Avg Insurance) '!$H$20="1st Installment",B77=1),'Input-AF (Avg Insurance) '!$J$20,IF('Input-AF (Avg Insurance) '!$H$20="Monthly",'Input-AF (Avg Insurance) '!$J$20,IF(AND('Input-AF (Avg Insurance) '!$H$20="End of the loan",B77='Input-AF (Avg Insurance) '!$E$22),'Input-AF (Avg Insurance) '!$J$20,"")))),"")</f>
        <v/>
      </c>
      <c r="N77" s="6">
        <f t="shared" si="13"/>
        <v>552</v>
      </c>
      <c r="O77" s="4">
        <f t="shared" si="1"/>
        <v>6240.8998620199263</v>
      </c>
      <c r="S77" s="9">
        <f t="shared" si="2"/>
        <v>46381</v>
      </c>
      <c r="T77" s="5">
        <f t="shared" si="7"/>
        <v>6240.9</v>
      </c>
      <c r="V77" s="105"/>
    </row>
    <row r="78" spans="1:22" ht="13.25" customHeight="1">
      <c r="B78" s="16">
        <f t="shared" si="8"/>
        <v>61</v>
      </c>
      <c r="C78" s="9">
        <f t="shared" si="14"/>
        <v>46412</v>
      </c>
      <c r="D78" s="6" t="str">
        <f>IFERROR(PPMT('Input-AF (Avg Insurance) '!$E$18/12,B78,$C$6,'Input-AF (Avg Insurance) '!$E$17,-$C$13,0)," ")</f>
        <v xml:space="preserve"> </v>
      </c>
      <c r="E78" s="6" t="str">
        <f>IFERROR(IPMT('Input-AF (Avg Insurance) '!$E$18/12,B78,$C$6,'Input-AF (Avg Insurance) '!$E$17,-$C$13,0)," ")</f>
        <v xml:space="preserve"> </v>
      </c>
      <c r="F78" s="6"/>
      <c r="G78" s="6"/>
      <c r="H78" s="6">
        <f t="shared" si="5"/>
        <v>0</v>
      </c>
      <c r="I78" s="6"/>
      <c r="J78" s="6"/>
      <c r="K78" s="6"/>
      <c r="L78" s="6" t="str">
        <f>IF(B78&lt;=$C$6,(IF(B78&lt;&gt;"",IF(AND('Input-AF (Avg Insurance) '!$H$19="Annual",MOD(B78,12)=0),'Input-AF (Avg Insurance) '!$J$19,IF(AND('Input-AF (Avg Insurance) '!$H$19="1st Installment",B78=1),'Input-AF (Avg Insurance) '!$J$19,IF('Input-AF (Avg Insurance) '!$H$19="Monthly",'Input-AF (Avg Insurance) '!$J$19,""))),""))," ")</f>
        <v xml:space="preserve"> </v>
      </c>
      <c r="M78" s="6" t="str">
        <f>IF(B78&lt;&gt;"",IF(AND('Input-AF (Avg Insurance) '!$H$20="Annual",MOD(B78,12)=0),'Input-AF (Avg Insurance) '!$J$20,IF(AND('Input-AF (Avg Insurance) '!$H$20="1st Installment",B78=1),'Input-AF (Avg Insurance) '!$J$20,IF('Input-AF (Avg Insurance) '!$H$20="Monthly",'Input-AF (Avg Insurance) '!$J$20,IF(AND('Input-AF (Avg Insurance) '!$H$20="End of the loan",B78='Input-AF (Avg Insurance) '!$E$22),'Input-AF (Avg Insurance) '!$J$20,"")))),"")</f>
        <v/>
      </c>
      <c r="N78" s="6">
        <f t="shared" ref="N78" si="17">IF(B78&lt;&gt;"",SUM(J78:M78),"")</f>
        <v>0</v>
      </c>
      <c r="O78" s="4">
        <f t="shared" ref="O78" si="18">IF(B78&lt;&gt;"",(-H78+N78),"")</f>
        <v>0</v>
      </c>
      <c r="S78" s="9">
        <f t="shared" si="2"/>
        <v>46412</v>
      </c>
      <c r="T78" s="5">
        <f t="shared" si="7"/>
        <v>0</v>
      </c>
      <c r="V78" s="105"/>
    </row>
    <row r="79" spans="1:22">
      <c r="B79" s="16" t="str">
        <f t="shared" si="8"/>
        <v/>
      </c>
      <c r="C79" s="9" t="str">
        <f t="shared" si="14"/>
        <v/>
      </c>
      <c r="D79" s="6" t="str">
        <f>IFERROR(PPMT('Input-AF (Avg Insurance) '!$E$18/12,B79,$C$6,'Input-AF (Avg Insurance) '!$E$17,-$C$13,0)," ")</f>
        <v xml:space="preserve"> </v>
      </c>
      <c r="E79" s="6" t="str">
        <f>IFERROR(IPMT('Input-AF (Avg Insurance) '!$E$18/12,B79,$C$6,'Input-AF (Avg Insurance) '!$E$17,-$C$13,0)," ")</f>
        <v xml:space="preserve"> </v>
      </c>
      <c r="F79" s="6"/>
      <c r="G79" s="6"/>
      <c r="H79" s="6" t="str">
        <f t="shared" si="5"/>
        <v/>
      </c>
      <c r="I79" s="6"/>
      <c r="J79" s="6"/>
      <c r="K79" s="6"/>
      <c r="L79" s="6" t="str">
        <f>IF(B79&lt;=$C$6,(IF(B79&lt;&gt;"",IF(AND('Input-AF (Avg Insurance) '!$H$19="Annual",MOD(B79,12)=0),'Input-AF (Avg Insurance) '!$J$19,IF(AND('Input-AF (Avg Insurance) '!$H$19="1st Installment",B79=1),'Input-AF (Avg Insurance) '!$J$19,IF('Input-AF (Avg Insurance) '!$H$19="Monthly",'Input-AF (Avg Insurance) '!$J$19,""))),""))," ")</f>
        <v xml:space="preserve"> </v>
      </c>
      <c r="M79" s="6" t="str">
        <f>IF(B79&lt;&gt;"",IF(AND('Input-AF (Avg Insurance) '!$H$20="Annual",MOD(B79,12)=0),'Input-AF (Avg Insurance) '!$J$20,IF(AND('Input-AF (Avg Insurance) '!$H$20="1st Installment",B79=1),'Input-AF (Avg Insurance) '!$J$20,IF('Input-AF (Avg Insurance) '!$H$20="Monthly",'Input-AF (Avg Insurance) '!$J$20,IF(AND('Input-AF (Avg Insurance) '!$H$20="End of the loan",B79='Input-AF (Avg Insurance) '!$E$22),'Input-AF (Avg Insurance) '!$J$20,"")))),"")</f>
        <v/>
      </c>
      <c r="N79" s="6" t="str">
        <f t="shared" ref="N79:N82" si="19">IF(B79&lt;&gt;"",SUM(J79:M79),"")</f>
        <v/>
      </c>
      <c r="O79" s="4" t="str">
        <f t="shared" ref="O79:O82" si="20">IF(B79&lt;&gt;"",(-H79+N79),"")</f>
        <v/>
      </c>
      <c r="S79" s="9"/>
      <c r="T79" s="5"/>
      <c r="V79" s="105"/>
    </row>
    <row r="80" spans="1:22">
      <c r="B80" s="16" t="str">
        <f t="shared" si="8"/>
        <v/>
      </c>
      <c r="C80" s="9" t="str">
        <f t="shared" si="14"/>
        <v/>
      </c>
      <c r="D80" s="6" t="str">
        <f>IFERROR(PPMT('Input-AF (Avg Insurance) '!$E$18/12,B80,$C$6,'Input-AF (Avg Insurance) '!$E$17,-$C$13,0)," ")</f>
        <v xml:space="preserve"> </v>
      </c>
      <c r="E80" s="6" t="str">
        <f>IFERROR(IPMT('Input-AF (Avg Insurance) '!$E$18/12,B80,$C$6,'Input-AF (Avg Insurance) '!$E$17,-$C$13,0)," ")</f>
        <v xml:space="preserve"> </v>
      </c>
      <c r="F80" s="6"/>
      <c r="G80" s="6"/>
      <c r="H80" s="6" t="str">
        <f t="shared" si="5"/>
        <v/>
      </c>
      <c r="I80" s="6"/>
      <c r="J80" s="6"/>
      <c r="K80" s="6"/>
      <c r="L80" s="6" t="str">
        <f>IF(B80&lt;=$C$6,(IF(B80&lt;&gt;"",IF(AND('Input-AF (Avg Insurance) '!$H$19="Annual",MOD(B80,12)=0),'Input-AF (Avg Insurance) '!$J$19,IF(AND('Input-AF (Avg Insurance) '!$H$19="1st Installment",B80=1),'Input-AF (Avg Insurance) '!$J$19,IF('Input-AF (Avg Insurance) '!$H$19="Monthly",'Input-AF (Avg Insurance) '!$J$19,""))),""))," ")</f>
        <v xml:space="preserve"> </v>
      </c>
      <c r="M80" s="6" t="str">
        <f>IF(B80&lt;&gt;"",IF(AND('Input-AF (Avg Insurance) '!$H$20="Annual",MOD(B80,12)=0),'Input-AF (Avg Insurance) '!$J$20,IF(AND('Input-AF (Avg Insurance) '!$H$20="1st Installment",B80=1),'Input-AF (Avg Insurance) '!$J$20,IF('Input-AF (Avg Insurance) '!$H$20="Monthly",'Input-AF (Avg Insurance) '!$J$20,IF(AND('Input-AF (Avg Insurance) '!$H$20="End of the loan",B80='Input-AF (Avg Insurance) '!$E$22),'Input-AF (Avg Insurance) '!$J$20,"")))),"")</f>
        <v/>
      </c>
      <c r="N80" s="6" t="str">
        <f t="shared" si="19"/>
        <v/>
      </c>
      <c r="O80" s="4" t="str">
        <f t="shared" si="20"/>
        <v/>
      </c>
      <c r="S80" s="9"/>
      <c r="T80" s="5"/>
      <c r="V80" s="105"/>
    </row>
    <row r="81" spans="2:22">
      <c r="B81" s="16" t="str">
        <f t="shared" si="8"/>
        <v/>
      </c>
      <c r="C81" s="9" t="str">
        <f t="shared" si="14"/>
        <v/>
      </c>
      <c r="D81" s="6" t="str">
        <f>IFERROR(PPMT('Input-AF (Avg Insurance) '!$E$18/12,B81,$C$6,'Input-AF (Avg Insurance) '!$E$17,-$C$13,0)," ")</f>
        <v xml:space="preserve"> </v>
      </c>
      <c r="E81" s="6" t="str">
        <f>IFERROR(IPMT('Input-AF (Avg Insurance) '!$E$18/12,B81,$C$6,'Input-AF (Avg Insurance) '!$E$17,-$C$13,0)," ")</f>
        <v xml:space="preserve"> </v>
      </c>
      <c r="F81" s="6"/>
      <c r="G81" s="6"/>
      <c r="H81" s="6" t="str">
        <f t="shared" si="5"/>
        <v/>
      </c>
      <c r="I81" s="6"/>
      <c r="J81" s="6"/>
      <c r="K81" s="6"/>
      <c r="L81" s="6" t="str">
        <f>IF(B81&lt;=$C$6,(IF(B81&lt;&gt;"",IF(AND('Input-AF (Avg Insurance) '!$H$19="Annual",MOD(B81,12)=0),'Input-AF (Avg Insurance) '!$J$19,IF(AND('Input-AF (Avg Insurance) '!$H$19="1st Installment",B81=1),'Input-AF (Avg Insurance) '!$J$19,IF('Input-AF (Avg Insurance) '!$H$19="Monthly",'Input-AF (Avg Insurance) '!$J$19,""))),""))," ")</f>
        <v xml:space="preserve"> </v>
      </c>
      <c r="M81" s="6" t="str">
        <f>IF(B81&lt;&gt;"",IF(AND('Input-AF (Avg Insurance) '!$H$20="Annual",MOD(B81,12)=0),'Input-AF (Avg Insurance) '!$J$20,IF(AND('Input-AF (Avg Insurance) '!$H$20="1st Installment",B81=1),'Input-AF (Avg Insurance) '!$J$20,IF('Input-AF (Avg Insurance) '!$H$20="Monthly",'Input-AF (Avg Insurance) '!$J$20,IF(AND('Input-AF (Avg Insurance) '!$H$20="End of the loan",B81='Input-AF (Avg Insurance) '!$E$22),'Input-AF (Avg Insurance) '!$J$20,"")))),"")</f>
        <v/>
      </c>
      <c r="N81" s="6" t="str">
        <f t="shared" si="19"/>
        <v/>
      </c>
      <c r="O81" s="4" t="str">
        <f t="shared" si="20"/>
        <v/>
      </c>
      <c r="S81" s="9"/>
      <c r="T81" s="5"/>
      <c r="V81" s="105"/>
    </row>
    <row r="82" spans="2:22">
      <c r="B82" s="16" t="str">
        <f t="shared" si="8"/>
        <v/>
      </c>
      <c r="C82" s="9" t="str">
        <f t="shared" si="14"/>
        <v/>
      </c>
      <c r="D82" s="6" t="str">
        <f>IFERROR(PPMT('Input-AF (Avg Insurance) '!$E$18/12,B82,$C$6,'Input-AF (Avg Insurance) '!$E$17,-$C$13,0)," ")</f>
        <v xml:space="preserve"> </v>
      </c>
      <c r="E82" s="6" t="str">
        <f>IFERROR(IPMT('Input-AF (Avg Insurance) '!$E$18/12,B82,$C$6,'Input-AF (Avg Insurance) '!$E$17,-$C$13,0)," ")</f>
        <v xml:space="preserve"> </v>
      </c>
      <c r="F82" s="6"/>
      <c r="G82" s="6"/>
      <c r="H82" s="6" t="str">
        <f t="shared" si="5"/>
        <v/>
      </c>
      <c r="I82" s="6"/>
      <c r="J82" s="6"/>
      <c r="K82" s="6"/>
      <c r="L82" s="6" t="str">
        <f>IF(B82&lt;=$C$6,(IF(B82&lt;&gt;"",IF(AND('Input-AF (Avg Insurance) '!$H$19="Annual",MOD(B82,12)=0),'Input-AF (Avg Insurance) '!$J$19,IF(AND('Input-AF (Avg Insurance) '!$H$19="1st Installment",B82=1),'Input-AF (Avg Insurance) '!$J$19,IF('Input-AF (Avg Insurance) '!$H$19="Monthly",'Input-AF (Avg Insurance) '!$J$19,""))),""))," ")</f>
        <v xml:space="preserve"> </v>
      </c>
      <c r="M82" s="6" t="str">
        <f>IF(B82&lt;&gt;"",IF(AND('Input-AF (Avg Insurance) '!$H$20="Annual",MOD(B82,12)=0),'Input-AF (Avg Insurance) '!$J$20,IF(AND('Input-AF (Avg Insurance) '!$H$20="1st Installment",B82=1),'Input-AF (Avg Insurance) '!$J$20,IF('Input-AF (Avg Insurance) '!$H$20="Monthly",'Input-AF (Avg Insurance) '!$J$20,IF(AND('Input-AF (Avg Insurance) '!$H$20="End of the loan",B82='Input-AF (Avg Insurance) '!$E$22),'Input-AF (Avg Insurance) '!$J$20,"")))),"")</f>
        <v/>
      </c>
      <c r="N82" s="6" t="str">
        <f t="shared" si="19"/>
        <v/>
      </c>
      <c r="O82" s="4" t="str">
        <f t="shared" si="20"/>
        <v/>
      </c>
      <c r="S82" s="9"/>
      <c r="T82" s="5"/>
      <c r="V82" s="105"/>
    </row>
    <row r="83" spans="2:22">
      <c r="D83" s="2"/>
      <c r="H83" s="2"/>
      <c r="L83" s="2"/>
    </row>
  </sheetData>
  <sheetProtection algorithmName="SHA-512" hashValue="u9yKyfHswEzYZk6u5ZYiYFjscLsr3IlA5O5llJzeXUrfrJ3LUG261We09Vc38Z2AUq+oLgTMEwLu6KG+QdFxlg==" saltValue="xrRF3JKURplMYQcYYEwgJA==" spinCount="100000" sheet="1" objects="1" scenarios="1"/>
  <mergeCells count="4">
    <mergeCell ref="B2:O2"/>
    <mergeCell ref="B4:F4"/>
    <mergeCell ref="H15:I15"/>
    <mergeCell ref="S15:T15"/>
  </mergeCells>
  <pageMargins left="0.7" right="0.7" top="0.75" bottom="0.75" header="0.3" footer="0.3"/>
  <pageSetup orientation="portrait" r:id="rId1"/>
  <headerFooter>
    <oddHeader>&amp;C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87"/>
  <sheetViews>
    <sheetView showGridLines="0" zoomScaleNormal="100" zoomScalePageLayoutView="89" workbookViewId="0">
      <selection activeCell="E69" sqref="E69"/>
    </sheetView>
  </sheetViews>
  <sheetFormatPr defaultColWidth="0" defaultRowHeight="14" customHeight="1"/>
  <cols>
    <col min="1" max="1" width="2.6328125" style="1" customWidth="1"/>
    <col min="2" max="2" width="6.36328125" style="1" customWidth="1"/>
    <col min="3" max="3" width="4.36328125" style="1" customWidth="1"/>
    <col min="4" max="4" width="27.08984375" style="1" bestFit="1" customWidth="1"/>
    <col min="5" max="5" width="10.6328125" style="1" bestFit="1" customWidth="1"/>
    <col min="6" max="6" width="12.453125" style="1" customWidth="1"/>
    <col min="7" max="7" width="25.08984375" style="1" bestFit="1" customWidth="1"/>
    <col min="8" max="9" width="21.90625" style="1" customWidth="1"/>
    <col min="10" max="10" width="28.81640625" style="1" bestFit="1" customWidth="1"/>
    <col min="11" max="11" width="17.453125" style="1" customWidth="1"/>
    <col min="12" max="13" width="18.54296875" style="30" bestFit="1" customWidth="1"/>
    <col min="14" max="14" width="8.36328125" style="1" bestFit="1" customWidth="1"/>
    <col min="15" max="15" width="6.90625" style="1" bestFit="1" customWidth="1"/>
    <col min="16" max="16" width="4" style="1" customWidth="1"/>
    <col min="17" max="17" width="0" style="1" hidden="1" customWidth="1"/>
    <col min="18" max="16384" width="8.90625" style="1" hidden="1"/>
  </cols>
  <sheetData>
    <row r="2" spans="2:19" ht="14" customHeight="1">
      <c r="B2" s="62" t="s">
        <v>43</v>
      </c>
      <c r="J2" s="62" t="s">
        <v>44</v>
      </c>
      <c r="L2" s="1"/>
    </row>
    <row r="3" spans="2:19" ht="18" customHeight="1">
      <c r="B3" s="169" t="s">
        <v>132</v>
      </c>
      <c r="C3" s="169"/>
      <c r="D3" s="169"/>
      <c r="E3" s="169"/>
      <c r="F3" s="169"/>
      <c r="G3" s="169"/>
      <c r="H3" s="169"/>
      <c r="J3" s="52"/>
      <c r="K3" s="159" t="s">
        <v>45</v>
      </c>
      <c r="L3" s="159"/>
      <c r="M3" s="159"/>
      <c r="N3" s="159"/>
    </row>
    <row r="4" spans="2:19" ht="18" customHeight="1">
      <c r="B4" s="169"/>
      <c r="C4" s="169"/>
      <c r="D4" s="169"/>
      <c r="E4" s="169"/>
      <c r="F4" s="169"/>
      <c r="G4" s="169"/>
      <c r="H4" s="169"/>
      <c r="J4" s="53"/>
      <c r="K4" s="159" t="s">
        <v>51</v>
      </c>
      <c r="L4" s="159"/>
      <c r="M4" s="159"/>
      <c r="N4" s="159"/>
    </row>
    <row r="5" spans="2:19" ht="18" customHeight="1">
      <c r="B5" s="169"/>
      <c r="C5" s="169"/>
      <c r="D5" s="169"/>
      <c r="E5" s="169"/>
      <c r="F5" s="169"/>
      <c r="G5" s="169"/>
      <c r="H5" s="169"/>
      <c r="J5" s="3"/>
      <c r="K5" s="159" t="s">
        <v>52</v>
      </c>
      <c r="L5" s="159"/>
      <c r="M5" s="159"/>
      <c r="N5" s="159"/>
    </row>
    <row r="6" spans="2:19" ht="18" customHeight="1">
      <c r="B6" s="169"/>
      <c r="C6" s="169"/>
      <c r="D6" s="169"/>
      <c r="E6" s="169"/>
      <c r="F6" s="169"/>
      <c r="G6" s="169"/>
      <c r="H6" s="169"/>
      <c r="J6" s="54"/>
      <c r="K6" s="159" t="s">
        <v>46</v>
      </c>
      <c r="L6" s="159"/>
      <c r="M6" s="159"/>
      <c r="N6" s="159"/>
      <c r="Q6" s="51"/>
      <c r="R6" s="51"/>
      <c r="S6" s="51"/>
    </row>
    <row r="7" spans="2:19" ht="18" customHeight="1">
      <c r="B7" s="169"/>
      <c r="C7" s="169"/>
      <c r="D7" s="169"/>
      <c r="E7" s="169"/>
      <c r="F7" s="169"/>
      <c r="G7" s="169"/>
      <c r="H7" s="169"/>
      <c r="J7" s="55"/>
      <c r="K7" s="159" t="s">
        <v>47</v>
      </c>
      <c r="L7" s="159"/>
      <c r="M7" s="159"/>
      <c r="N7" s="159"/>
    </row>
    <row r="8" spans="2:19" ht="18" customHeight="1">
      <c r="B8" s="169"/>
      <c r="C8" s="169"/>
      <c r="D8" s="169"/>
      <c r="E8" s="169"/>
      <c r="F8" s="169"/>
      <c r="G8" s="169"/>
      <c r="H8" s="169"/>
      <c r="J8" s="56"/>
      <c r="K8" s="159" t="s">
        <v>48</v>
      </c>
      <c r="L8" s="159"/>
      <c r="M8" s="159"/>
      <c r="N8" s="159"/>
    </row>
    <row r="9" spans="2:19" ht="18" customHeight="1">
      <c r="B9" s="169"/>
      <c r="C9" s="169"/>
      <c r="D9" s="169"/>
      <c r="E9" s="169"/>
      <c r="F9" s="169"/>
      <c r="G9" s="169"/>
      <c r="H9" s="169"/>
      <c r="J9" s="61"/>
      <c r="K9" s="159" t="s">
        <v>50</v>
      </c>
      <c r="L9" s="159"/>
      <c r="M9" s="159"/>
      <c r="N9" s="159"/>
    </row>
    <row r="10" spans="2:19" ht="18" customHeight="1">
      <c r="B10" s="169"/>
      <c r="C10" s="169"/>
      <c r="D10" s="169"/>
      <c r="E10" s="169"/>
      <c r="F10" s="169"/>
      <c r="G10" s="169"/>
      <c r="H10" s="169"/>
      <c r="J10" s="57"/>
      <c r="K10" s="159" t="s">
        <v>110</v>
      </c>
      <c r="L10" s="159"/>
      <c r="M10" s="159"/>
      <c r="N10" s="159"/>
    </row>
    <row r="11" spans="2:19" ht="18" customHeight="1">
      <c r="B11" s="169"/>
      <c r="C11" s="169"/>
      <c r="D11" s="169"/>
      <c r="E11" s="169"/>
      <c r="F11" s="169"/>
      <c r="G11" s="169"/>
      <c r="H11" s="169"/>
      <c r="L11" s="1"/>
    </row>
    <row r="12" spans="2:19" ht="14" customHeight="1" thickBot="1"/>
    <row r="13" spans="2:19" ht="14" customHeight="1">
      <c r="B13" s="18"/>
      <c r="C13" s="19"/>
      <c r="D13" s="19"/>
      <c r="E13" s="19"/>
      <c r="F13" s="19"/>
      <c r="G13" s="19"/>
      <c r="H13" s="19"/>
      <c r="I13" s="19"/>
      <c r="J13" s="19"/>
      <c r="K13" s="19"/>
      <c r="L13" s="31"/>
      <c r="M13" s="31"/>
      <c r="N13" s="20"/>
    </row>
    <row r="14" spans="2:19" ht="14" customHeight="1">
      <c r="B14" s="21"/>
      <c r="C14" s="163" t="s">
        <v>18</v>
      </c>
      <c r="D14" s="163"/>
      <c r="E14" s="163"/>
      <c r="F14" s="163"/>
      <c r="G14" s="163"/>
      <c r="H14" s="163"/>
      <c r="I14" s="163"/>
      <c r="J14" s="163"/>
      <c r="K14" s="163"/>
      <c r="L14" s="163"/>
      <c r="M14" s="163"/>
      <c r="N14" s="22"/>
    </row>
    <row r="15" spans="2:19" ht="14" customHeight="1">
      <c r="B15" s="21"/>
      <c r="C15" s="11"/>
      <c r="D15" s="11"/>
      <c r="E15" s="11"/>
      <c r="F15" s="11"/>
      <c r="G15" s="11"/>
      <c r="H15" s="11"/>
      <c r="I15" s="11"/>
      <c r="J15" s="11"/>
      <c r="K15" s="11"/>
      <c r="L15" s="32"/>
      <c r="M15" s="32"/>
      <c r="N15" s="22"/>
    </row>
    <row r="16" spans="2:19" ht="39.65" customHeight="1">
      <c r="B16" s="21"/>
      <c r="C16" s="11"/>
      <c r="D16" s="164" t="s">
        <v>0</v>
      </c>
      <c r="E16" s="165"/>
      <c r="F16" s="27"/>
      <c r="G16" s="28" t="s">
        <v>26</v>
      </c>
      <c r="H16" s="28" t="s">
        <v>13</v>
      </c>
      <c r="I16" s="29" t="s">
        <v>25</v>
      </c>
      <c r="J16" s="29" t="s">
        <v>102</v>
      </c>
      <c r="K16" s="11"/>
      <c r="L16" s="28" t="s">
        <v>7</v>
      </c>
      <c r="N16" s="22"/>
    </row>
    <row r="17" spans="2:14" ht="14" customHeight="1">
      <c r="B17" s="21"/>
      <c r="C17" s="11"/>
      <c r="D17" s="10" t="s">
        <v>131</v>
      </c>
      <c r="E17" s="145">
        <v>20000</v>
      </c>
      <c r="F17" s="11"/>
      <c r="G17" s="10" t="s">
        <v>32</v>
      </c>
      <c r="H17" s="149" t="s">
        <v>68</v>
      </c>
      <c r="I17" s="150">
        <v>200</v>
      </c>
      <c r="J17" s="78">
        <f>IF(H17="Annual",I17/($E$22/12),IF(H17="Monthly",I17/$E$22,I17))</f>
        <v>200</v>
      </c>
      <c r="K17" s="11"/>
      <c r="L17" s="58">
        <f ca="1">IFERROR('Personal Finance'!F6,"")</f>
        <v>4.3299660086631775E-2</v>
      </c>
      <c r="N17" s="22"/>
    </row>
    <row r="18" spans="2:14" ht="14" customHeight="1">
      <c r="B18" s="21"/>
      <c r="C18" s="11"/>
      <c r="D18" s="10" t="s">
        <v>121</v>
      </c>
      <c r="E18" s="146">
        <v>3.2000000000000001E-2</v>
      </c>
      <c r="F18" s="11"/>
      <c r="G18" s="10" t="s">
        <v>33</v>
      </c>
      <c r="H18" s="149" t="s">
        <v>70</v>
      </c>
      <c r="I18" s="151"/>
      <c r="J18" s="78">
        <f t="shared" ref="J18:J19" si="0">IF(H18="Annual",I18/($E$22/12),IF(H18="Monthly",I18/$E$22,I18))</f>
        <v>0</v>
      </c>
      <c r="K18" s="11"/>
      <c r="N18" s="22"/>
    </row>
    <row r="19" spans="2:14" ht="14" customHeight="1">
      <c r="B19" s="21"/>
      <c r="C19" s="11"/>
      <c r="D19" s="64"/>
      <c r="E19" s="11"/>
      <c r="F19" s="11"/>
      <c r="G19" s="10" t="s">
        <v>54</v>
      </c>
      <c r="H19" s="149" t="s">
        <v>68</v>
      </c>
      <c r="I19" s="151"/>
      <c r="J19" s="78">
        <f t="shared" si="0"/>
        <v>0</v>
      </c>
      <c r="K19" s="11"/>
      <c r="L19" s="107"/>
      <c r="N19" s="22"/>
    </row>
    <row r="20" spans="2:14" ht="14" customHeight="1">
      <c r="B20" s="21"/>
      <c r="C20" s="11"/>
      <c r="D20" s="11"/>
      <c r="E20" s="11"/>
      <c r="F20" s="11"/>
      <c r="G20" s="160" t="s">
        <v>23</v>
      </c>
      <c r="H20" s="161"/>
      <c r="I20" s="91">
        <f>SUM(I17:I19)</f>
        <v>200</v>
      </c>
      <c r="J20" s="78"/>
      <c r="K20" s="11"/>
      <c r="L20" s="108"/>
      <c r="M20" s="32"/>
      <c r="N20" s="22"/>
    </row>
    <row r="21" spans="2:14" ht="14" customHeight="1">
      <c r="B21" s="21"/>
      <c r="C21" s="11"/>
      <c r="D21" s="167" t="s">
        <v>1</v>
      </c>
      <c r="E21" s="168"/>
      <c r="F21" s="11"/>
      <c r="K21" s="11"/>
      <c r="L21" s="32"/>
      <c r="M21" s="32"/>
      <c r="N21" s="22"/>
    </row>
    <row r="22" spans="2:14" ht="14" customHeight="1">
      <c r="B22" s="21"/>
      <c r="C22" s="11"/>
      <c r="D22" s="60" t="s">
        <v>17</v>
      </c>
      <c r="E22" s="147">
        <v>24</v>
      </c>
      <c r="F22" s="11"/>
      <c r="G22" s="11"/>
      <c r="H22" s="11"/>
      <c r="I22" s="68"/>
      <c r="J22" s="11"/>
      <c r="K22" s="11"/>
      <c r="L22" s="32"/>
      <c r="M22" s="32"/>
      <c r="N22" s="22"/>
    </row>
    <row r="23" spans="2:14" ht="14" customHeight="1">
      <c r="B23" s="21"/>
      <c r="C23" s="11"/>
      <c r="D23" s="60" t="s">
        <v>36</v>
      </c>
      <c r="E23" s="148">
        <v>44562</v>
      </c>
      <c r="F23" s="11"/>
      <c r="G23" s="11"/>
      <c r="H23" s="11"/>
      <c r="I23" s="68"/>
      <c r="J23" s="11"/>
      <c r="K23" s="11"/>
      <c r="L23" s="32"/>
      <c r="M23" s="32"/>
      <c r="N23" s="22"/>
    </row>
    <row r="24" spans="2:14" ht="14" customHeight="1">
      <c r="B24" s="21"/>
      <c r="C24" s="11"/>
      <c r="D24" s="60" t="s">
        <v>37</v>
      </c>
      <c r="E24" s="80">
        <f>DATEDIF(E23,E25,"m")</f>
        <v>0</v>
      </c>
      <c r="F24" s="11"/>
      <c r="G24" s="11"/>
      <c r="H24" s="11"/>
      <c r="I24" s="11"/>
      <c r="J24" s="11"/>
      <c r="K24" s="11"/>
      <c r="L24" s="32"/>
      <c r="M24" s="32"/>
      <c r="N24" s="22"/>
    </row>
    <row r="25" spans="2:14" ht="14" customHeight="1">
      <c r="B25" s="21"/>
      <c r="C25" s="11"/>
      <c r="D25" s="60" t="s">
        <v>38</v>
      </c>
      <c r="E25" s="148">
        <v>44587</v>
      </c>
      <c r="F25" s="63"/>
      <c r="G25" s="11"/>
      <c r="H25" s="11"/>
      <c r="I25" s="11"/>
      <c r="J25" s="11"/>
      <c r="K25" s="11"/>
      <c r="L25" s="77"/>
      <c r="M25" s="32"/>
      <c r="N25" s="22"/>
    </row>
    <row r="26" spans="2:14" ht="14" customHeight="1">
      <c r="B26" s="21"/>
      <c r="C26" s="11"/>
      <c r="D26" s="63"/>
      <c r="E26" s="63"/>
      <c r="F26" s="63"/>
      <c r="G26" s="11"/>
      <c r="H26" s="11"/>
      <c r="I26" s="11"/>
      <c r="J26" s="11"/>
      <c r="K26" s="11"/>
      <c r="L26" s="32"/>
      <c r="M26" s="32"/>
      <c r="N26" s="22"/>
    </row>
    <row r="27" spans="2:14" ht="14" customHeight="1" thickBot="1">
      <c r="B27" s="23"/>
      <c r="C27" s="24"/>
      <c r="D27" s="24"/>
      <c r="E27" s="24"/>
      <c r="F27" s="24"/>
      <c r="G27" s="25"/>
      <c r="H27" s="25"/>
      <c r="I27" s="25"/>
      <c r="J27" s="25"/>
      <c r="K27" s="24"/>
      <c r="L27" s="33"/>
      <c r="M27" s="33"/>
      <c r="N27" s="26"/>
    </row>
    <row r="28" spans="2:14" ht="8" customHeight="1"/>
    <row r="29" spans="2:14" ht="8" customHeight="1" thickBot="1"/>
    <row r="30" spans="2:14" ht="14" customHeight="1">
      <c r="B30" s="18"/>
      <c r="C30" s="19"/>
      <c r="D30" s="19"/>
      <c r="E30" s="19"/>
      <c r="F30" s="19"/>
      <c r="G30" s="19"/>
      <c r="H30" s="19"/>
      <c r="I30" s="19"/>
      <c r="J30" s="19"/>
      <c r="K30" s="19"/>
      <c r="L30" s="31"/>
      <c r="M30" s="31"/>
      <c r="N30" s="20"/>
    </row>
    <row r="31" spans="2:14" ht="13.75" customHeight="1">
      <c r="B31" s="21"/>
      <c r="C31" s="163" t="s">
        <v>20</v>
      </c>
      <c r="D31" s="163"/>
      <c r="E31" s="163"/>
      <c r="F31" s="163"/>
      <c r="G31" s="163"/>
      <c r="H31" s="163"/>
      <c r="I31" s="163"/>
      <c r="J31" s="163"/>
      <c r="K31" s="163"/>
      <c r="L31" s="163"/>
      <c r="M31" s="163"/>
      <c r="N31" s="22"/>
    </row>
    <row r="32" spans="2:14" ht="14" customHeight="1">
      <c r="B32" s="21"/>
      <c r="C32" s="11"/>
      <c r="D32" s="11"/>
      <c r="E32" s="11"/>
      <c r="F32" s="11"/>
      <c r="G32" s="11"/>
      <c r="H32" s="11"/>
      <c r="I32" s="11"/>
      <c r="J32" s="11"/>
      <c r="K32" s="11"/>
      <c r="L32" s="32"/>
      <c r="M32" s="32"/>
      <c r="N32" s="22"/>
    </row>
    <row r="33" spans="2:15" ht="40.25" customHeight="1">
      <c r="B33" s="21"/>
      <c r="C33" s="11"/>
      <c r="D33" s="164" t="s">
        <v>0</v>
      </c>
      <c r="E33" s="165"/>
      <c r="F33" s="27"/>
      <c r="G33" s="28" t="s">
        <v>86</v>
      </c>
      <c r="H33" s="28" t="s">
        <v>13</v>
      </c>
      <c r="I33" s="29" t="s">
        <v>25</v>
      </c>
      <c r="J33" s="29" t="s">
        <v>102</v>
      </c>
      <c r="K33" s="27"/>
      <c r="L33" s="28" t="s">
        <v>7</v>
      </c>
      <c r="N33" s="22"/>
    </row>
    <row r="34" spans="2:15" ht="14" customHeight="1">
      <c r="B34" s="21"/>
      <c r="C34" s="11"/>
      <c r="D34" s="10" t="s">
        <v>131</v>
      </c>
      <c r="E34" s="145">
        <v>300000</v>
      </c>
      <c r="F34" s="11"/>
      <c r="G34" s="10" t="s">
        <v>32</v>
      </c>
      <c r="H34" s="149" t="s">
        <v>67</v>
      </c>
      <c r="I34" s="145">
        <v>3000</v>
      </c>
      <c r="J34" s="78">
        <f>IF(H34="Annual",I34/($E$22/12),IF(H34="Monthly",I34/$E$22,I34))</f>
        <v>3000</v>
      </c>
      <c r="K34" s="11"/>
      <c r="L34" s="58">
        <f ca="1">IFERROR('Auto Finance'!F6,"")</f>
        <v>0.11783557534217834</v>
      </c>
      <c r="N34" s="22"/>
    </row>
    <row r="35" spans="2:15" ht="14" customHeight="1">
      <c r="B35" s="21"/>
      <c r="C35" s="11"/>
      <c r="D35" s="10" t="s">
        <v>121</v>
      </c>
      <c r="E35" s="146">
        <v>5.1999999999999998E-2</v>
      </c>
      <c r="F35" s="11"/>
      <c r="G35" s="10" t="s">
        <v>33</v>
      </c>
      <c r="H35" s="149" t="s">
        <v>70</v>
      </c>
      <c r="I35" s="145"/>
      <c r="J35" s="78">
        <f>IF(H35="Annual",I35/($E$22/12),IF(H35="Monthly",I35/$E$22,I35))</f>
        <v>0</v>
      </c>
      <c r="K35" s="11"/>
      <c r="N35" s="22"/>
    </row>
    <row r="36" spans="2:15" ht="14" customHeight="1">
      <c r="B36" s="21"/>
      <c r="C36" s="11"/>
      <c r="D36" s="11"/>
      <c r="E36" s="11"/>
      <c r="F36" s="11"/>
      <c r="G36" s="10" t="s">
        <v>34</v>
      </c>
      <c r="H36" s="149" t="s">
        <v>68</v>
      </c>
      <c r="I36" s="145">
        <f>SUM(J42:J46)</f>
        <v>36225</v>
      </c>
      <c r="J36" s="78">
        <f>IF(H36="Upfront Payment",I36,(IF(H36="1st Installment", I36, "As per the below Charges/frequency")))</f>
        <v>36225</v>
      </c>
      <c r="K36" s="11"/>
      <c r="L36" s="107"/>
      <c r="M36" s="32"/>
      <c r="N36" s="22"/>
    </row>
    <row r="37" spans="2:15" ht="14" customHeight="1">
      <c r="B37" s="21"/>
      <c r="C37" s="11"/>
      <c r="D37" s="11"/>
      <c r="E37" s="11"/>
      <c r="F37" s="11"/>
      <c r="G37" s="10" t="s">
        <v>54</v>
      </c>
      <c r="H37" s="149" t="s">
        <v>68</v>
      </c>
      <c r="I37" s="145"/>
      <c r="J37" s="78">
        <f>IF(H37="Annual",I37/($E$39/12),IF(H37="Monthly",I37/$E$39,I37))</f>
        <v>0</v>
      </c>
      <c r="K37" s="11"/>
      <c r="L37" s="108"/>
      <c r="M37" s="32"/>
      <c r="N37" s="22"/>
    </row>
    <row r="38" spans="2:15" ht="14" customHeight="1">
      <c r="B38" s="21"/>
      <c r="C38" s="11"/>
      <c r="D38" s="162" t="s">
        <v>1</v>
      </c>
      <c r="E38" s="162"/>
      <c r="F38" s="11"/>
      <c r="G38" s="160" t="s">
        <v>23</v>
      </c>
      <c r="H38" s="161"/>
      <c r="I38" s="91">
        <f>SUM(I34:I37)</f>
        <v>39225</v>
      </c>
      <c r="J38" s="139"/>
      <c r="L38" s="32"/>
      <c r="M38" s="32"/>
      <c r="N38" s="22"/>
    </row>
    <row r="39" spans="2:15" ht="14" customHeight="1">
      <c r="B39" s="21"/>
      <c r="C39" s="11"/>
      <c r="D39" s="60" t="s">
        <v>17</v>
      </c>
      <c r="E39" s="147">
        <v>60</v>
      </c>
      <c r="F39" s="11"/>
      <c r="K39" s="11"/>
      <c r="L39" s="32"/>
      <c r="M39" s="123"/>
      <c r="N39" s="22"/>
    </row>
    <row r="40" spans="2:15" ht="14" customHeight="1">
      <c r="B40" s="21"/>
      <c r="C40" s="11"/>
      <c r="D40" s="60" t="s">
        <v>36</v>
      </c>
      <c r="E40" s="148">
        <v>44562</v>
      </c>
      <c r="F40" s="11"/>
      <c r="G40" s="28" t="s">
        <v>62</v>
      </c>
      <c r="H40" s="145">
        <v>350000</v>
      </c>
      <c r="J40" s="76"/>
      <c r="K40" s="32"/>
      <c r="L40" s="32"/>
      <c r="M40" s="74"/>
      <c r="N40" s="22"/>
    </row>
    <row r="41" spans="2:15" s="97" customFormat="1" ht="30.65" customHeight="1">
      <c r="B41" s="98"/>
      <c r="C41" s="99"/>
      <c r="D41" s="100" t="s">
        <v>37</v>
      </c>
      <c r="E41" s="101">
        <f>DATEDIF(E40,E42,"m")</f>
        <v>0</v>
      </c>
      <c r="F41" s="99"/>
      <c r="G41" s="29" t="s">
        <v>60</v>
      </c>
      <c r="H41" s="29" t="s">
        <v>61</v>
      </c>
      <c r="I41" s="29" t="s">
        <v>78</v>
      </c>
      <c r="J41" s="29" t="s">
        <v>63</v>
      </c>
      <c r="K41" s="29" t="s">
        <v>64</v>
      </c>
      <c r="L41" s="29" t="s">
        <v>24</v>
      </c>
      <c r="M41" s="122"/>
      <c r="N41" s="102"/>
    </row>
    <row r="42" spans="2:15" ht="14" customHeight="1">
      <c r="B42" s="21"/>
      <c r="C42" s="11"/>
      <c r="D42" s="60" t="s">
        <v>38</v>
      </c>
      <c r="E42" s="148">
        <v>44586</v>
      </c>
      <c r="F42" s="11"/>
      <c r="G42" s="73">
        <f>IF(E39=0,"",1)</f>
        <v>1</v>
      </c>
      <c r="H42" s="146">
        <v>0.03</v>
      </c>
      <c r="I42" s="75">
        <v>0.2</v>
      </c>
      <c r="J42" s="57">
        <f>IF(G42&lt;&gt;"",H40*H42*1.15,0)</f>
        <v>12074.999999999998</v>
      </c>
      <c r="K42" s="57">
        <f>IFERROR(IF($H$36="Annual",12*G42,IF($H$36="1st Installment",1,"")),"")</f>
        <v>1</v>
      </c>
      <c r="L42" s="57">
        <f>IF(G42="","",IF($H$36="Monthly",J42/12,J42))</f>
        <v>12074.999999999998</v>
      </c>
      <c r="M42" s="119"/>
      <c r="N42" s="120"/>
      <c r="O42" s="96"/>
    </row>
    <row r="43" spans="2:15" ht="14" customHeight="1">
      <c r="B43" s="21"/>
      <c r="C43" s="11"/>
      <c r="D43" s="11"/>
      <c r="E43" s="11"/>
      <c r="F43" s="11"/>
      <c r="G43" s="73">
        <f>IF(G42&lt;($E$39/12),G42+1,"")</f>
        <v>2</v>
      </c>
      <c r="H43" s="146">
        <v>0.03</v>
      </c>
      <c r="I43" s="75">
        <v>0.2</v>
      </c>
      <c r="J43" s="57">
        <f>IF(G43&lt;&gt;"",($H$40-($H$40*I42)*G42)*H43*1.15,0)</f>
        <v>9660</v>
      </c>
      <c r="K43" s="57" t="str">
        <f>IFERROR(IF($H$36="Annual",12*G43,""),"")</f>
        <v/>
      </c>
      <c r="L43" s="57">
        <f>IF(G43="","",IF($H$36="Monthly",J43/12,J43))</f>
        <v>9660</v>
      </c>
      <c r="M43" s="119"/>
      <c r="N43" s="120"/>
      <c r="O43" s="96"/>
    </row>
    <row r="44" spans="2:15" ht="14" customHeight="1">
      <c r="B44" s="21"/>
      <c r="C44" s="11"/>
      <c r="D44" s="11"/>
      <c r="E44" s="11"/>
      <c r="F44" s="11"/>
      <c r="G44" s="73">
        <f>IF(G43&lt;($E$39/12),G43+1,"")</f>
        <v>3</v>
      </c>
      <c r="H44" s="146">
        <v>0.03</v>
      </c>
      <c r="I44" s="75">
        <v>0.2</v>
      </c>
      <c r="J44" s="57">
        <f t="shared" ref="J44:J46" si="1">IF(G44&lt;&gt;"",($H$40-($H$40*I43)*G43)*H44*1.15,0)</f>
        <v>7244.9999999999991</v>
      </c>
      <c r="K44" s="57" t="str">
        <f>IFERROR(IF($H$36="Annual",12*G44,""),"")</f>
        <v/>
      </c>
      <c r="L44" s="57">
        <f>IF(G44="","",IF($H$36="Monthly",J44/12,J44))</f>
        <v>7244.9999999999991</v>
      </c>
      <c r="M44" s="119"/>
      <c r="N44" s="120"/>
      <c r="O44" s="96"/>
    </row>
    <row r="45" spans="2:15" ht="14" customHeight="1">
      <c r="B45" s="21"/>
      <c r="C45" s="11"/>
      <c r="D45" s="162" t="s">
        <v>9</v>
      </c>
      <c r="E45" s="162"/>
      <c r="F45" s="11"/>
      <c r="G45" s="73">
        <f>IF(G44&lt;($E$39/12),G44+1,"")</f>
        <v>4</v>
      </c>
      <c r="H45" s="146">
        <v>0.03</v>
      </c>
      <c r="I45" s="75">
        <v>0.2</v>
      </c>
      <c r="J45" s="57">
        <f t="shared" si="1"/>
        <v>4830</v>
      </c>
      <c r="K45" s="57" t="str">
        <f>IFERROR(IF($H$36="Annual",12*G45,""),"")</f>
        <v/>
      </c>
      <c r="L45" s="57">
        <f>IF(G45="","",IF($H$36="Monthly",J45/12,J45))</f>
        <v>4830</v>
      </c>
      <c r="M45" s="119"/>
      <c r="N45" s="120"/>
      <c r="O45" s="96"/>
    </row>
    <row r="46" spans="2:15" ht="14" customHeight="1">
      <c r="B46" s="21"/>
      <c r="C46" s="11"/>
      <c r="D46" s="60" t="s">
        <v>12</v>
      </c>
      <c r="E46" s="145"/>
      <c r="F46" s="11"/>
      <c r="G46" s="73">
        <f>IF(G45&lt;($E$39/12),G45+1,"")</f>
        <v>5</v>
      </c>
      <c r="H46" s="146">
        <v>0.03</v>
      </c>
      <c r="I46" s="75">
        <v>0.2</v>
      </c>
      <c r="J46" s="57">
        <f t="shared" si="1"/>
        <v>2415</v>
      </c>
      <c r="K46" s="57" t="str">
        <f>IFERROR(IF($H$36="Annual",12*G46,""),"")</f>
        <v/>
      </c>
      <c r="L46" s="57">
        <f>IF(G46="","",IF($H$36="Monthly",J46/12,J46))</f>
        <v>2415</v>
      </c>
      <c r="M46" s="119"/>
      <c r="N46" s="120"/>
      <c r="O46" s="96"/>
    </row>
    <row r="47" spans="2:15" ht="14" customHeight="1" thickBot="1">
      <c r="B47" s="23"/>
      <c r="C47" s="24"/>
      <c r="D47" s="24"/>
      <c r="E47" s="59"/>
      <c r="F47" s="24"/>
      <c r="G47" s="24"/>
      <c r="H47" s="24"/>
      <c r="I47" s="24"/>
      <c r="J47" s="24"/>
      <c r="K47" s="24"/>
      <c r="L47" s="33"/>
      <c r="M47" s="33"/>
      <c r="N47" s="26"/>
    </row>
    <row r="49" spans="2:14" ht="14" customHeight="1" thickBot="1"/>
    <row r="50" spans="2:14" ht="14" customHeight="1">
      <c r="B50" s="18"/>
      <c r="C50" s="19"/>
      <c r="D50" s="19"/>
      <c r="E50" s="19"/>
      <c r="F50" s="19"/>
      <c r="G50" s="19"/>
      <c r="H50" s="19"/>
      <c r="I50" s="19"/>
      <c r="J50" s="19"/>
      <c r="K50" s="19"/>
      <c r="L50" s="31"/>
      <c r="M50" s="31"/>
      <c r="N50" s="20"/>
    </row>
    <row r="51" spans="2:14" ht="14" customHeight="1">
      <c r="B51" s="21"/>
      <c r="C51" s="163" t="s">
        <v>58</v>
      </c>
      <c r="D51" s="163"/>
      <c r="E51" s="163"/>
      <c r="F51" s="163"/>
      <c r="G51" s="163"/>
      <c r="H51" s="163"/>
      <c r="I51" s="163"/>
      <c r="J51" s="163"/>
      <c r="K51" s="163"/>
      <c r="L51" s="163"/>
      <c r="M51" s="163"/>
      <c r="N51" s="22"/>
    </row>
    <row r="52" spans="2:14" ht="14" customHeight="1">
      <c r="B52" s="21"/>
      <c r="C52" s="11"/>
      <c r="D52" s="11"/>
      <c r="E52" s="11"/>
      <c r="F52" s="11"/>
      <c r="G52" s="11"/>
      <c r="H52" s="11"/>
      <c r="I52" s="11"/>
      <c r="J52" s="11"/>
      <c r="K52" s="11"/>
      <c r="L52" s="32"/>
      <c r="M52" s="32"/>
      <c r="N52" s="22"/>
    </row>
    <row r="53" spans="2:14" ht="39.65" customHeight="1">
      <c r="B53" s="21"/>
      <c r="C53" s="11"/>
      <c r="D53" s="164" t="s">
        <v>0</v>
      </c>
      <c r="E53" s="165"/>
      <c r="F53" s="27"/>
      <c r="G53" s="28" t="s">
        <v>86</v>
      </c>
      <c r="H53" s="28" t="s">
        <v>13</v>
      </c>
      <c r="I53" s="29" t="s">
        <v>25</v>
      </c>
      <c r="J53" s="29" t="s">
        <v>102</v>
      </c>
      <c r="K53" s="27"/>
      <c r="L53" s="28" t="s">
        <v>7</v>
      </c>
      <c r="N53" s="22"/>
    </row>
    <row r="54" spans="2:14" ht="14" customHeight="1">
      <c r="B54" s="21"/>
      <c r="C54" s="11"/>
      <c r="D54" s="60" t="s">
        <v>131</v>
      </c>
      <c r="E54" s="145">
        <v>1500000</v>
      </c>
      <c r="F54" s="11"/>
      <c r="G54" s="10" t="s">
        <v>32</v>
      </c>
      <c r="H54" s="149" t="s">
        <v>68</v>
      </c>
      <c r="I54" s="145">
        <v>2000</v>
      </c>
      <c r="J54" s="79">
        <f>IF(H54="Annual",I54/($E$58/12),IF(H54="Monthly",I54/$E$58,I54))</f>
        <v>2000</v>
      </c>
      <c r="K54" s="11"/>
      <c r="L54" s="58">
        <f ca="1">IFERROR('Real Estate Finance'!F6,"")</f>
        <v>2.3941925168037417E-2</v>
      </c>
      <c r="M54" s="82"/>
      <c r="N54" s="22"/>
    </row>
    <row r="55" spans="2:14" ht="14" customHeight="1">
      <c r="B55" s="21"/>
      <c r="C55" s="11"/>
      <c r="D55" s="60" t="s">
        <v>121</v>
      </c>
      <c r="E55" s="146">
        <v>2.35E-2</v>
      </c>
      <c r="F55" s="11"/>
      <c r="G55" s="10" t="s">
        <v>33</v>
      </c>
      <c r="H55" s="149" t="s">
        <v>69</v>
      </c>
      <c r="I55" s="145"/>
      <c r="J55" s="79">
        <f t="shared" ref="J55:J58" si="2">IF(H55="Annual",I55/($E$58/12),IF(H55="Monthly",I55/$E$58,I55))</f>
        <v>0</v>
      </c>
      <c r="K55" s="11"/>
      <c r="L55" s="32"/>
      <c r="M55" s="83"/>
      <c r="N55" s="22"/>
    </row>
    <row r="56" spans="2:14" ht="14" customHeight="1">
      <c r="B56" s="21"/>
      <c r="C56" s="11"/>
      <c r="D56" s="11"/>
      <c r="E56" s="11"/>
      <c r="F56" s="11"/>
      <c r="G56" s="10" t="s">
        <v>65</v>
      </c>
      <c r="H56" s="149" t="s">
        <v>68</v>
      </c>
      <c r="I56" s="145">
        <v>300</v>
      </c>
      <c r="J56" s="79">
        <f t="shared" si="2"/>
        <v>300</v>
      </c>
      <c r="K56" s="11"/>
      <c r="L56" s="107"/>
      <c r="M56" s="32"/>
      <c r="N56" s="22"/>
    </row>
    <row r="57" spans="2:14" ht="14" customHeight="1">
      <c r="B57" s="21"/>
      <c r="C57" s="11"/>
      <c r="D57" s="162" t="s">
        <v>1</v>
      </c>
      <c r="E57" s="162"/>
      <c r="F57" s="11"/>
      <c r="G57" s="10" t="s">
        <v>35</v>
      </c>
      <c r="H57" s="149" t="s">
        <v>68</v>
      </c>
      <c r="I57" s="145">
        <v>3000</v>
      </c>
      <c r="J57" s="79">
        <f t="shared" si="2"/>
        <v>3000</v>
      </c>
      <c r="K57" s="11"/>
      <c r="L57" s="108"/>
      <c r="M57" s="32"/>
      <c r="N57" s="22"/>
    </row>
    <row r="58" spans="2:14" ht="14" customHeight="1">
      <c r="B58" s="21"/>
      <c r="C58" s="11"/>
      <c r="D58" s="60" t="s">
        <v>17</v>
      </c>
      <c r="E58" s="147">
        <v>300</v>
      </c>
      <c r="F58" s="11"/>
      <c r="G58" s="3" t="s">
        <v>55</v>
      </c>
      <c r="H58" s="149" t="s">
        <v>68</v>
      </c>
      <c r="I58" s="145"/>
      <c r="J58" s="79">
        <f t="shared" si="2"/>
        <v>0</v>
      </c>
      <c r="K58" s="11"/>
      <c r="L58" s="32"/>
      <c r="M58" s="32"/>
      <c r="N58" s="22"/>
    </row>
    <row r="59" spans="2:14" ht="14" customHeight="1">
      <c r="B59" s="21"/>
      <c r="C59" s="11"/>
      <c r="D59" s="60" t="s">
        <v>36</v>
      </c>
      <c r="E59" s="148">
        <v>44562</v>
      </c>
      <c r="F59" s="11"/>
      <c r="G59" s="160" t="s">
        <v>23</v>
      </c>
      <c r="H59" s="161"/>
      <c r="I59" s="91">
        <f>SUM(I54:I58)</f>
        <v>5300</v>
      </c>
      <c r="J59" s="57"/>
      <c r="K59" s="11"/>
      <c r="L59" s="32"/>
      <c r="M59" s="32"/>
      <c r="N59" s="22"/>
    </row>
    <row r="60" spans="2:14" ht="14" customHeight="1">
      <c r="B60" s="21"/>
      <c r="C60" s="11"/>
      <c r="D60" s="60" t="s">
        <v>37</v>
      </c>
      <c r="E60" s="80">
        <f>DATEDIF(E59,E61,"m")</f>
        <v>0</v>
      </c>
      <c r="F60" s="11"/>
      <c r="K60" s="11"/>
      <c r="L60" s="32"/>
      <c r="M60" s="32"/>
      <c r="N60" s="22"/>
    </row>
    <row r="61" spans="2:14" ht="14" customHeight="1">
      <c r="B61" s="21"/>
      <c r="C61" s="11"/>
      <c r="D61" s="60" t="s">
        <v>38</v>
      </c>
      <c r="E61" s="148">
        <v>44586</v>
      </c>
      <c r="F61" s="11"/>
      <c r="G61" s="64" t="s">
        <v>79</v>
      </c>
      <c r="H61" s="2"/>
      <c r="I61" s="2"/>
      <c r="K61" s="11"/>
      <c r="L61" s="32"/>
      <c r="M61" s="32"/>
      <c r="N61" s="22"/>
    </row>
    <row r="62" spans="2:14" ht="14" customHeight="1">
      <c r="B62" s="21"/>
      <c r="C62" s="11"/>
      <c r="D62" s="11"/>
      <c r="E62" s="11"/>
      <c r="F62" s="11"/>
      <c r="I62" s="2"/>
      <c r="K62" s="11"/>
      <c r="L62" s="32"/>
      <c r="M62" s="32"/>
      <c r="N62" s="22"/>
    </row>
    <row r="63" spans="2:14" ht="14" customHeight="1">
      <c r="B63" s="21"/>
      <c r="C63" s="11"/>
      <c r="D63" s="11"/>
      <c r="E63" s="11"/>
      <c r="F63" s="11"/>
      <c r="G63" s="76"/>
      <c r="K63" s="11"/>
      <c r="L63" s="32"/>
      <c r="M63" s="32"/>
      <c r="N63" s="22"/>
    </row>
    <row r="64" spans="2:14" ht="14" customHeight="1">
      <c r="B64" s="21"/>
      <c r="C64" s="11"/>
      <c r="D64" s="162" t="s">
        <v>9</v>
      </c>
      <c r="E64" s="162"/>
      <c r="F64" s="11"/>
      <c r="K64" s="11"/>
      <c r="L64" s="32"/>
      <c r="M64" s="32"/>
      <c r="N64" s="22"/>
    </row>
    <row r="65" spans="2:14" ht="14" customHeight="1">
      <c r="B65" s="21"/>
      <c r="C65" s="11"/>
      <c r="D65" s="60" t="s">
        <v>12</v>
      </c>
      <c r="E65" s="145">
        <v>1000000</v>
      </c>
      <c r="F65" s="11"/>
      <c r="G65" s="68"/>
      <c r="H65" s="11"/>
      <c r="I65" s="11"/>
      <c r="J65" s="11"/>
      <c r="K65" s="11"/>
      <c r="L65" s="32"/>
      <c r="M65" s="32"/>
      <c r="N65" s="22"/>
    </row>
    <row r="66" spans="2:14" ht="14" customHeight="1" thickBot="1">
      <c r="B66" s="23"/>
      <c r="C66" s="24"/>
      <c r="D66" s="24"/>
      <c r="E66" s="24"/>
      <c r="F66" s="24"/>
      <c r="G66" s="24"/>
      <c r="H66" s="24"/>
      <c r="I66" s="24"/>
      <c r="J66" s="24"/>
      <c r="K66" s="24"/>
      <c r="L66" s="33"/>
      <c r="M66" s="33"/>
      <c r="N66" s="26"/>
    </row>
    <row r="68" spans="2:14" ht="14" customHeight="1" thickBot="1"/>
    <row r="69" spans="2:14" ht="14" customHeight="1">
      <c r="B69" s="18"/>
      <c r="C69" s="19"/>
      <c r="D69" s="19"/>
      <c r="E69" s="19"/>
      <c r="F69" s="19"/>
      <c r="G69" s="19"/>
      <c r="H69" s="19"/>
      <c r="I69" s="19"/>
      <c r="J69" s="19"/>
      <c r="K69" s="19"/>
      <c r="L69" s="31"/>
      <c r="M69" s="31"/>
      <c r="N69" s="20"/>
    </row>
    <row r="70" spans="2:14" ht="14" customHeight="1">
      <c r="B70" s="21"/>
      <c r="C70" s="163" t="s">
        <v>21</v>
      </c>
      <c r="D70" s="163"/>
      <c r="E70" s="163"/>
      <c r="F70" s="163"/>
      <c r="G70" s="163"/>
      <c r="H70" s="163"/>
      <c r="I70" s="163"/>
      <c r="J70" s="163"/>
      <c r="K70" s="163"/>
      <c r="L70" s="163"/>
      <c r="M70" s="163"/>
      <c r="N70" s="22"/>
    </row>
    <row r="71" spans="2:14" ht="14" customHeight="1">
      <c r="B71" s="21"/>
      <c r="C71" s="11"/>
      <c r="D71" s="11"/>
      <c r="E71" s="11"/>
      <c r="F71" s="11"/>
      <c r="G71" s="11"/>
      <c r="H71" s="11"/>
      <c r="I71" s="11"/>
      <c r="J71" s="11"/>
      <c r="K71" s="11"/>
      <c r="L71" s="32"/>
      <c r="M71" s="32"/>
      <c r="N71" s="22"/>
    </row>
    <row r="72" spans="2:14" ht="36" customHeight="1">
      <c r="B72" s="21"/>
      <c r="C72" s="11"/>
      <c r="D72" s="164" t="s">
        <v>0</v>
      </c>
      <c r="E72" s="165"/>
      <c r="F72" s="27"/>
      <c r="G72" s="28" t="s">
        <v>86</v>
      </c>
      <c r="H72" s="28" t="s">
        <v>13</v>
      </c>
      <c r="I72" s="29" t="s">
        <v>25</v>
      </c>
      <c r="J72" s="29" t="s">
        <v>102</v>
      </c>
      <c r="K72" s="27"/>
      <c r="L72" s="28" t="s">
        <v>7</v>
      </c>
      <c r="N72" s="22"/>
    </row>
    <row r="73" spans="2:14" ht="14" customHeight="1">
      <c r="B73" s="21"/>
      <c r="C73" s="11"/>
      <c r="D73" s="60" t="s">
        <v>71</v>
      </c>
      <c r="E73" s="145">
        <v>50000</v>
      </c>
      <c r="F73" s="11"/>
      <c r="G73" s="10" t="s">
        <v>33</v>
      </c>
      <c r="H73" s="149" t="s">
        <v>68</v>
      </c>
      <c r="I73" s="147">
        <v>115</v>
      </c>
      <c r="J73" s="57">
        <f>IF(H73="Annual",I73/1,IF(H73="Monthly",I73/12,I73))</f>
        <v>115</v>
      </c>
      <c r="K73" s="11"/>
      <c r="L73" s="58">
        <f>IFERROR('Credit Card'!F6,"")</f>
        <v>0.11770218014717104</v>
      </c>
      <c r="N73" s="22"/>
    </row>
    <row r="74" spans="2:14" ht="14" customHeight="1">
      <c r="B74" s="21"/>
      <c r="C74" s="11"/>
      <c r="D74" s="60" t="s">
        <v>2</v>
      </c>
      <c r="E74" s="81">
        <v>30000</v>
      </c>
      <c r="F74" s="11"/>
      <c r="G74" s="10" t="s">
        <v>34</v>
      </c>
      <c r="H74" s="149" t="s">
        <v>68</v>
      </c>
      <c r="I74" s="147">
        <v>25</v>
      </c>
      <c r="J74" s="57">
        <f>IF(H74="Annual",I74/1,IF(H74="Monthly",I74/12,I74))</f>
        <v>25</v>
      </c>
      <c r="K74" s="11"/>
      <c r="L74" s="32"/>
      <c r="M74" s="32"/>
      <c r="N74" s="22"/>
    </row>
    <row r="75" spans="2:14" ht="14" customHeight="1">
      <c r="B75" s="21"/>
      <c r="C75" s="11"/>
      <c r="D75" s="60" t="s">
        <v>121</v>
      </c>
      <c r="E75" s="146">
        <v>0.1</v>
      </c>
      <c r="F75" s="11"/>
      <c r="G75" s="10" t="s">
        <v>55</v>
      </c>
      <c r="H75" s="149" t="s">
        <v>68</v>
      </c>
      <c r="I75" s="147"/>
      <c r="J75" s="57">
        <f>IF(H75="Annual",I75/1,IF(H75="Monthly",I75/12,I75))</f>
        <v>0</v>
      </c>
      <c r="K75" s="11"/>
      <c r="L75" s="107"/>
      <c r="M75" s="32"/>
      <c r="N75" s="22"/>
    </row>
    <row r="76" spans="2:14" ht="14" customHeight="1">
      <c r="B76" s="21"/>
      <c r="C76" s="11"/>
      <c r="D76" s="11"/>
      <c r="E76" s="11"/>
      <c r="F76" s="11"/>
      <c r="G76" s="166" t="s">
        <v>23</v>
      </c>
      <c r="H76" s="166"/>
      <c r="I76" s="91">
        <f>SUM(I73:I75)</f>
        <v>140</v>
      </c>
      <c r="J76" s="57"/>
      <c r="K76" s="11"/>
      <c r="L76" s="108"/>
      <c r="M76" s="32"/>
      <c r="N76" s="22"/>
    </row>
    <row r="77" spans="2:14" ht="14" customHeight="1">
      <c r="B77" s="21"/>
      <c r="C77" s="11"/>
      <c r="D77" s="162" t="s">
        <v>1</v>
      </c>
      <c r="E77" s="162"/>
      <c r="F77" s="11"/>
      <c r="K77" s="11"/>
      <c r="L77" s="32"/>
      <c r="M77" s="32"/>
      <c r="N77" s="22"/>
    </row>
    <row r="78" spans="2:14" ht="14" customHeight="1">
      <c r="B78" s="21"/>
      <c r="C78" s="11"/>
      <c r="D78" s="3" t="s">
        <v>53</v>
      </c>
      <c r="E78" s="148">
        <v>44562</v>
      </c>
      <c r="F78" s="11"/>
      <c r="K78" s="11"/>
      <c r="L78" s="32"/>
      <c r="M78" s="32"/>
      <c r="N78" s="22"/>
    </row>
    <row r="79" spans="2:14" ht="14" customHeight="1">
      <c r="B79" s="21"/>
      <c r="C79" s="11"/>
      <c r="D79" s="60" t="s">
        <v>38</v>
      </c>
      <c r="E79" s="148">
        <v>44588</v>
      </c>
      <c r="F79" s="11"/>
      <c r="K79" s="11"/>
      <c r="L79" s="32"/>
      <c r="M79" s="32"/>
      <c r="N79" s="22"/>
    </row>
    <row r="80" spans="2:14" ht="14" customHeight="1">
      <c r="B80" s="21"/>
      <c r="C80" s="11"/>
      <c r="D80" s="11"/>
      <c r="E80" s="11"/>
      <c r="F80" s="11"/>
      <c r="K80" s="11"/>
      <c r="L80" s="32"/>
      <c r="M80" s="32"/>
      <c r="N80" s="22"/>
    </row>
    <row r="81" spans="2:14" ht="14" customHeight="1">
      <c r="B81" s="21"/>
      <c r="C81" s="11"/>
      <c r="D81" s="64"/>
      <c r="E81" s="11"/>
      <c r="F81" s="11"/>
      <c r="K81" s="11"/>
      <c r="L81" s="32"/>
      <c r="M81" s="32"/>
      <c r="N81" s="22"/>
    </row>
    <row r="82" spans="2:14" ht="14" customHeight="1" thickBot="1">
      <c r="B82" s="23"/>
      <c r="C82" s="24"/>
      <c r="D82" s="24"/>
      <c r="E82" s="24"/>
      <c r="F82" s="24"/>
      <c r="G82" s="24"/>
      <c r="H82" s="24"/>
      <c r="I82" s="24"/>
      <c r="J82" s="24"/>
      <c r="K82" s="24"/>
      <c r="L82" s="33"/>
      <c r="M82" s="33"/>
      <c r="N82" s="26"/>
    </row>
    <row r="87" spans="2:14" ht="14" customHeight="1">
      <c r="F87" s="65"/>
    </row>
  </sheetData>
  <sheetProtection algorithmName="SHA-512" hashValue="I1S0kvsHyPIczSe1eDrdGySB8fdxmP8Bod6uQ0IdPhZLk1oRFGTYcBqdLXUR/S4z731I9QmKXKrx9dcVMO3b8g==" saltValue="2OG4qoen6tC0s/paugn7WQ==" spinCount="100000" sheet="1" objects="1" scenarios="1"/>
  <mergeCells count="27">
    <mergeCell ref="B3:H11"/>
    <mergeCell ref="D33:E33"/>
    <mergeCell ref="G20:H20"/>
    <mergeCell ref="D45:E45"/>
    <mergeCell ref="G38:H38"/>
    <mergeCell ref="D38:E38"/>
    <mergeCell ref="K8:N8"/>
    <mergeCell ref="K9:N9"/>
    <mergeCell ref="K10:N10"/>
    <mergeCell ref="G59:H59"/>
    <mergeCell ref="D77:E77"/>
    <mergeCell ref="C14:M14"/>
    <mergeCell ref="C31:M31"/>
    <mergeCell ref="C51:M51"/>
    <mergeCell ref="C70:M70"/>
    <mergeCell ref="D53:E53"/>
    <mergeCell ref="D72:E72"/>
    <mergeCell ref="D57:E57"/>
    <mergeCell ref="D64:E64"/>
    <mergeCell ref="G76:H76"/>
    <mergeCell ref="D16:E16"/>
    <mergeCell ref="D21:E21"/>
    <mergeCell ref="K3:N3"/>
    <mergeCell ref="K4:N4"/>
    <mergeCell ref="K5:N5"/>
    <mergeCell ref="K6:N6"/>
    <mergeCell ref="K7:N7"/>
  </mergeCells>
  <conditionalFormatting sqref="E25">
    <cfRule type="expression" dxfId="4" priority="7">
      <formula>$E25&lt;$E23</formula>
    </cfRule>
  </conditionalFormatting>
  <conditionalFormatting sqref="E42">
    <cfRule type="expression" dxfId="3" priority="3">
      <formula>$E42&lt;$E40</formula>
    </cfRule>
  </conditionalFormatting>
  <conditionalFormatting sqref="E61">
    <cfRule type="expression" dxfId="2" priority="2">
      <formula>$E61&lt;$E59</formula>
    </cfRule>
  </conditionalFormatting>
  <conditionalFormatting sqref="E79">
    <cfRule type="expression" dxfId="1" priority="1">
      <formula>$E79&lt;$E78</formula>
    </cfRule>
  </conditionalFormatting>
  <dataValidations count="2">
    <dataValidation type="list" allowBlank="1" showInputMessage="1" showErrorMessage="1" sqref="H20 H38 H76">
      <formula1>"Monthly, Annual, Beginning of the loan, End of the loan"</formula1>
    </dataValidation>
    <dataValidation type="list" allowBlank="1" showInputMessage="1" showErrorMessage="1" sqref="H17:H19 H34:H37 H54:H58 H73:H75">
      <formula1>"Monthly, Annual, Upfront payment, 1st Installment"</formula1>
    </dataValidation>
  </dataValidations>
  <pageMargins left="0.7" right="0.7" top="0.75" bottom="0.75" header="0.3" footer="0.3"/>
  <pageSetup orientation="portrait" r:id="rId1"/>
  <headerFooter>
    <oddHeader>&amp;C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80"/>
  <sheetViews>
    <sheetView showGridLines="0" topLeftCell="B135" zoomScale="90" zoomScaleNormal="90" workbookViewId="0">
      <selection activeCell="E161" sqref="E161"/>
    </sheetView>
  </sheetViews>
  <sheetFormatPr defaultColWidth="8.90625" defaultRowHeight="11.5"/>
  <cols>
    <col min="1" max="1" width="0" style="1" hidden="1" customWidth="1"/>
    <col min="2" max="7" width="24.36328125" style="1" customWidth="1"/>
    <col min="8" max="8" width="29.08984375" style="1" bestFit="1" customWidth="1"/>
    <col min="9" max="13" width="24.36328125" style="1" customWidth="1"/>
    <col min="14" max="14" width="17.36328125" style="1" bestFit="1" customWidth="1"/>
    <col min="15" max="15" width="11" style="1" bestFit="1" customWidth="1"/>
    <col min="16" max="16" width="12" style="1" bestFit="1" customWidth="1"/>
    <col min="17" max="18" width="10.453125" style="1" bestFit="1" customWidth="1"/>
    <col min="19" max="19" width="11.6328125" style="1" bestFit="1" customWidth="1"/>
    <col min="20" max="20" width="21.90625" style="1" customWidth="1"/>
    <col min="21" max="22" width="8.90625" style="1" hidden="1" customWidth="1"/>
    <col min="23" max="16384" width="8.90625" style="1"/>
  </cols>
  <sheetData>
    <row r="1" spans="2:22">
      <c r="U1" s="1">
        <f>ROW(R17)</f>
        <v>17</v>
      </c>
      <c r="V1" s="1">
        <f>ROW(S17)</f>
        <v>17</v>
      </c>
    </row>
    <row r="2" spans="2:22" ht="17" customHeight="1">
      <c r="B2" s="172" t="s">
        <v>14</v>
      </c>
      <c r="C2" s="172"/>
      <c r="D2" s="172"/>
      <c r="E2" s="172"/>
      <c r="F2" s="172"/>
      <c r="G2" s="172"/>
      <c r="H2" s="172"/>
      <c r="I2" s="172"/>
      <c r="J2" s="172"/>
      <c r="K2" s="172"/>
      <c r="L2" s="172"/>
      <c r="M2" s="172"/>
      <c r="N2" s="172"/>
      <c r="U2" s="1">
        <f>COLUMN(R17)</f>
        <v>18</v>
      </c>
      <c r="V2" s="1">
        <f>COLUMN(S17)</f>
        <v>19</v>
      </c>
    </row>
    <row r="3" spans="2:22">
      <c r="V3" s="50">
        <f>COUNTIF(R17:R80,"&gt;0")-1</f>
        <v>24</v>
      </c>
    </row>
    <row r="4" spans="2:22">
      <c r="B4" s="170" t="s">
        <v>19</v>
      </c>
      <c r="C4" s="170"/>
      <c r="D4" s="170"/>
      <c r="E4" s="170"/>
      <c r="F4" s="170"/>
    </row>
    <row r="6" spans="2:22">
      <c r="B6" s="3" t="s">
        <v>17</v>
      </c>
      <c r="C6" s="3">
        <f>Input!E22</f>
        <v>24</v>
      </c>
      <c r="E6" s="17" t="s">
        <v>7</v>
      </c>
      <c r="F6" s="14">
        <f ca="1">XIRR(S17:INDIRECT(ADDRESS($V$1+$V$3,$V$2)),R17:INDIRECT(ADDRESS($U$1+$V$3,$U$2)))</f>
        <v>4.3299660086631775E-2</v>
      </c>
    </row>
    <row r="7" spans="2:22">
      <c r="E7" s="143"/>
      <c r="F7" s="144"/>
      <c r="G7" s="142"/>
    </row>
    <row r="8" spans="2:22">
      <c r="B8" s="3" t="s">
        <v>2</v>
      </c>
      <c r="C8" s="5">
        <f>Input!E17</f>
        <v>20000</v>
      </c>
      <c r="D8" s="94"/>
    </row>
    <row r="9" spans="2:22">
      <c r="B9" s="3" t="s">
        <v>114</v>
      </c>
      <c r="C9" s="5">
        <f>-SUM(E18:E80)</f>
        <v>673.47194705424158</v>
      </c>
      <c r="D9" s="62"/>
      <c r="E9" s="62"/>
    </row>
    <row r="10" spans="2:22">
      <c r="B10" s="3" t="s">
        <v>8</v>
      </c>
      <c r="C10" s="5">
        <f>SUM($M$17:$M$80)</f>
        <v>200</v>
      </c>
      <c r="D10" s="8"/>
      <c r="E10" s="69"/>
      <c r="F10" s="69"/>
    </row>
    <row r="11" spans="2:22">
      <c r="B11" s="3" t="s">
        <v>42</v>
      </c>
      <c r="C11" s="9">
        <f>EDATE(Input!E25,C6)</f>
        <v>45317</v>
      </c>
      <c r="D11" s="2"/>
      <c r="E11" s="2"/>
      <c r="F11" s="69"/>
      <c r="S11" s="8"/>
    </row>
    <row r="12" spans="2:22">
      <c r="D12" s="2"/>
      <c r="E12" s="2"/>
      <c r="F12" s="69"/>
    </row>
    <row r="13" spans="2:22">
      <c r="D13" s="2"/>
      <c r="E13" s="2"/>
      <c r="F13" s="69"/>
      <c r="I13" s="2"/>
      <c r="O13" s="15"/>
      <c r="S13" s="8"/>
    </row>
    <row r="14" spans="2:22">
      <c r="D14" s="2"/>
      <c r="E14" s="2"/>
      <c r="F14" s="69"/>
      <c r="O14" s="7"/>
      <c r="P14" s="8"/>
      <c r="Q14" s="8"/>
    </row>
    <row r="15" spans="2:22">
      <c r="E15" s="71"/>
      <c r="G15" s="70"/>
      <c r="M15" s="12"/>
      <c r="R15" s="171" t="s">
        <v>39</v>
      </c>
      <c r="S15" s="171"/>
    </row>
    <row r="16" spans="2:22">
      <c r="B16" s="13" t="s">
        <v>3</v>
      </c>
      <c r="C16" s="13" t="s">
        <v>4</v>
      </c>
      <c r="D16" s="13" t="s">
        <v>5</v>
      </c>
      <c r="E16" s="13" t="s">
        <v>114</v>
      </c>
      <c r="F16" s="13" t="s">
        <v>10</v>
      </c>
      <c r="G16" s="13" t="s">
        <v>115</v>
      </c>
      <c r="H16" s="13" t="s">
        <v>6</v>
      </c>
      <c r="I16" s="13" t="s">
        <v>11</v>
      </c>
      <c r="J16" s="13" t="s">
        <v>32</v>
      </c>
      <c r="K16" s="13" t="s">
        <v>33</v>
      </c>
      <c r="L16" s="13" t="s">
        <v>54</v>
      </c>
      <c r="M16" s="13" t="s">
        <v>15</v>
      </c>
      <c r="N16" s="13" t="s">
        <v>16</v>
      </c>
      <c r="R16" s="13" t="s">
        <v>40</v>
      </c>
      <c r="S16" s="13" t="s">
        <v>41</v>
      </c>
    </row>
    <row r="17" spans="2:22">
      <c r="B17" s="16">
        <v>0</v>
      </c>
      <c r="C17" s="9">
        <f>Input!E23</f>
        <v>44562</v>
      </c>
      <c r="D17" s="6">
        <v>0</v>
      </c>
      <c r="E17" s="6">
        <v>0</v>
      </c>
      <c r="F17" s="6">
        <v>0</v>
      </c>
      <c r="G17" s="6">
        <v>0</v>
      </c>
      <c r="H17" s="6">
        <v>0</v>
      </c>
      <c r="I17" s="6">
        <v>0</v>
      </c>
      <c r="J17" s="6" t="str">
        <f>IF(AND(Input!$H$17="Upfront Payment",B17=0),Input!$J$17,"")</f>
        <v/>
      </c>
      <c r="K17" s="6" t="str">
        <f>IF(AND(Input!$H$18="Upfront Payment",B17=0),Input!$J$18,"")</f>
        <v/>
      </c>
      <c r="L17" s="6" t="str">
        <f>IF(AND(Input!$H$19="Upfront Payment",B17=0),Input!$J$19,"")</f>
        <v/>
      </c>
      <c r="M17" s="6">
        <f t="shared" ref="M17:M48" si="0">IF(B17&lt;&gt;"",SUM(J17:L17),"")</f>
        <v>0</v>
      </c>
      <c r="N17" s="4">
        <f t="shared" ref="N17:N48" si="1">IF(B17&lt;&gt;"",(-H17+M17),"")</f>
        <v>0</v>
      </c>
      <c r="R17" s="9">
        <f>Input!E23</f>
        <v>44562</v>
      </c>
      <c r="S17" s="5">
        <f>-(C8-N17)</f>
        <v>-20000</v>
      </c>
      <c r="T17" s="135"/>
      <c r="U17" s="8"/>
      <c r="V17" s="8"/>
    </row>
    <row r="18" spans="2:22">
      <c r="B18" s="16">
        <v>1</v>
      </c>
      <c r="C18" s="9">
        <f>Input!E25</f>
        <v>44587</v>
      </c>
      <c r="D18" s="6">
        <f>IFERROR(PPMT(Input!$E$18/12,B18,$C$6,Input!$E$17)," ")</f>
        <v>-808.06133112726002</v>
      </c>
      <c r="E18" s="6">
        <f>IFERROR(IPMT(Input!$E$18/12,B18,$C$6,Input!$E$17)," ")</f>
        <v>-53.333333333333329</v>
      </c>
      <c r="F18" s="6">
        <f>D18</f>
        <v>-808.06133112726002</v>
      </c>
      <c r="G18" s="6">
        <f>E18</f>
        <v>-53.333333333333329</v>
      </c>
      <c r="H18" s="6">
        <f>IFERROR((D18+E18)," ")</f>
        <v>-861.39466446059339</v>
      </c>
      <c r="I18" s="6">
        <f>C8+D18</f>
        <v>19191.938668872739</v>
      </c>
      <c r="J18" s="6">
        <f>IF(B18&lt;&gt;"",IF(AND(Input!$H$17="Annual",MOD(B18,12)=0),Input!$J$17,IF(AND(Input!$H$17="1st Installment",B18=1),Input!$J$17,IF(Input!$H$17="Monthly",Input!$J$17,""))),"")</f>
        <v>200</v>
      </c>
      <c r="K18" s="6" t="str">
        <f>IF(B18&lt;&gt;"",IF(AND(Input!$H$18="Annual",MOD(B18,12)=0),Input!$J$18,IF(AND(Input!$H$18="1st Installment",B18=1),Input!$J$18,IF(Input!$H$18="Monthly",Input!$J$18,""))),"")</f>
        <v/>
      </c>
      <c r="L18" s="6">
        <f>IF(B18&lt;&gt;"",IF(AND(Input!$H$19="Annual",MOD(B18,12)=0),Input!$J$19,IF(AND(Input!$H$19="1st Installment",B18=1),Input!$J$19,IF(Input!$H$19="Monthly",Input!$J$19,IF(AND(Input!$H$19="End of the loan",B18=Input!$E$22),Input!$J$19,"")))),"")</f>
        <v>0</v>
      </c>
      <c r="M18" s="6">
        <f t="shared" si="0"/>
        <v>200</v>
      </c>
      <c r="N18" s="4">
        <f t="shared" si="1"/>
        <v>1061.3946644605935</v>
      </c>
      <c r="R18" s="9">
        <f>IF(Input!$E$24=0,Input!$E$25,EDATE(Input!$E$25,-Input!$E$24))</f>
        <v>44587</v>
      </c>
      <c r="S18" s="5">
        <f>IFERROR(ROUND(_xlfn.IFNA(VLOOKUP(R18,$C$18:$N$80,12,0),0),2)," ")</f>
        <v>1061.3900000000001</v>
      </c>
      <c r="T18" s="135"/>
    </row>
    <row r="19" spans="2:22">
      <c r="B19" s="16">
        <f>IF(B18="","",IF((B18+1)&lt;=$C$6,B18+1,""))</f>
        <v>2</v>
      </c>
      <c r="C19" s="9">
        <f>IF(B19="","",EDATE(C18,1))</f>
        <v>44618</v>
      </c>
      <c r="D19" s="6">
        <f>IFERROR(IF(B19&lt;&gt;"",PPMT(Input!$E$18/12,B19,$C$6,Input!$E$17),"")," ")</f>
        <v>-810.21616134359931</v>
      </c>
      <c r="E19" s="6">
        <f>IFERROR(IPMT(Input!$E$18/12,B19,$C$6,Input!$E$17)," ")</f>
        <v>-51.178503116993959</v>
      </c>
      <c r="F19" s="6">
        <f t="shared" ref="F19:F50" si="2">IF(B19&lt;&gt;"",F18+D19,"")</f>
        <v>-1618.2774924708592</v>
      </c>
      <c r="G19" s="6">
        <f t="shared" ref="G19:G50" si="3">IF(B19&lt;&gt;"",G18+E19,"")</f>
        <v>-104.51183645032728</v>
      </c>
      <c r="H19" s="6">
        <f t="shared" ref="H19:H80" si="4">IFERROR((D19+E19)," ")</f>
        <v>-861.39466446059328</v>
      </c>
      <c r="I19" s="6">
        <f t="shared" ref="I19:I50" si="5">IF(B19&lt;&gt;"",I18+D19,"")</f>
        <v>18381.722507529139</v>
      </c>
      <c r="J19" s="6" t="str">
        <f>IF(B19&lt;&gt;"",IF(AND(Input!$H$17="Annual",MOD(B19,12)=0),Input!$J$17,IF(AND(Input!$H$17="1st Installment",B19=1),Input!$J$17,IF(Input!$H$17="Monthly",Input!$J$17,""))),"")</f>
        <v/>
      </c>
      <c r="K19" s="6" t="str">
        <f>IF(B19&lt;&gt;"",IF(AND(Input!$H$18="Annual",MOD(B19,12)=0),Input!$J$18,IF(AND(Input!$H$18="1st Installment",B19=1),Input!$J$18,IF(Input!$H$18="Monthly",Input!$J$18,""))),"")</f>
        <v/>
      </c>
      <c r="L19" s="6" t="str">
        <f>IF(B19&lt;&gt;"",IF(AND(Input!$H$19="Annual",MOD(B19,12)=0),Input!$J$19,IF(AND(Input!$H$19="1st Installment",B19=1),Input!$J$19,IF(Input!$H$19="Monthly",Input!$J$19,IF(AND(Input!$H$19="End of the loan",B19=Input!$E$22),Input!$J$19,"")))),"")</f>
        <v/>
      </c>
      <c r="M19" s="6">
        <f t="shared" si="0"/>
        <v>0</v>
      </c>
      <c r="N19" s="4">
        <f t="shared" si="1"/>
        <v>861.39466446059328</v>
      </c>
      <c r="R19" s="9">
        <f>IF(EDATE(Input!$E$25,Input!$E$22-1)&lt;=R18,"",EDATE(R18,1))</f>
        <v>44618</v>
      </c>
      <c r="S19" s="5">
        <f t="shared" ref="S19:S80" si="6">IFERROR(ROUND(_xlfn.IFNA(VLOOKUP(R19,$C$18:$N$80,12,0),0),2)," ")</f>
        <v>861.39</v>
      </c>
      <c r="T19" s="135"/>
    </row>
    <row r="20" spans="2:22">
      <c r="B20" s="16">
        <f t="shared" ref="B20:B80" si="7">IF(B19="","",IF((B19+1)&lt;=$C$6,B19+1,""))</f>
        <v>3</v>
      </c>
      <c r="C20" s="9">
        <f t="shared" ref="C20:C77" si="8">IF(B20="","",EDATE(C19,1))</f>
        <v>44646</v>
      </c>
      <c r="D20" s="6">
        <f>IFERROR(IF(B20&lt;&gt;"",PPMT(Input!$E$18/12,B20,$C$6,Input!$E$17),"")," ")</f>
        <v>-812.37673777384896</v>
      </c>
      <c r="E20" s="6">
        <f>IFERROR(IPMT(Input!$E$18/12,B20,$C$6,Input!$E$17)," ")</f>
        <v>-49.017926686744367</v>
      </c>
      <c r="F20" s="6">
        <f t="shared" si="2"/>
        <v>-2430.6542302447083</v>
      </c>
      <c r="G20" s="6">
        <f t="shared" si="3"/>
        <v>-153.52976313707165</v>
      </c>
      <c r="H20" s="6">
        <f t="shared" si="4"/>
        <v>-861.39466446059328</v>
      </c>
      <c r="I20" s="6">
        <f t="shared" si="5"/>
        <v>17569.345769755291</v>
      </c>
      <c r="J20" s="6" t="str">
        <f>IF(B20&lt;&gt;"",IF(AND(Input!$H$17="Annual",MOD(B20,12)=0),Input!$J$17,IF(AND(Input!$H$17="1st Installment",B20=1),Input!$J$17,IF(Input!$H$17="Monthly",Input!$J$17,""))),"")</f>
        <v/>
      </c>
      <c r="K20" s="6" t="str">
        <f>IF(B20&lt;&gt;"",IF(AND(Input!$H$18="Annual",MOD(B20,12)=0),Input!$J$18,IF(AND(Input!$H$18="1st Installment",B20=1),Input!$J$18,IF(Input!$H$18="Monthly",Input!$J$18,""))),"")</f>
        <v/>
      </c>
      <c r="L20" s="6" t="str">
        <f>IF(B20&lt;&gt;"",IF(AND(Input!$H$19="Annual",MOD(B20,12)=0),Input!$J$19,IF(AND(Input!$H$19="1st Installment",B20=1),Input!$J$19,IF(Input!$H$19="Monthly",Input!$J$19,IF(AND(Input!$H$19="End of the loan",B20=Input!$E$22),Input!$J$19,"")))),"")</f>
        <v/>
      </c>
      <c r="M20" s="6">
        <f t="shared" si="0"/>
        <v>0</v>
      </c>
      <c r="N20" s="4">
        <f t="shared" si="1"/>
        <v>861.39466446059328</v>
      </c>
      <c r="R20" s="9">
        <f>IF(EDATE(Input!$E$25,Input!$E$22-1)&lt;=R19,"",EDATE(R19,1))</f>
        <v>44646</v>
      </c>
      <c r="S20" s="5">
        <f t="shared" si="6"/>
        <v>861.39</v>
      </c>
      <c r="T20" s="135"/>
    </row>
    <row r="21" spans="2:22">
      <c r="B21" s="16">
        <f t="shared" si="7"/>
        <v>4</v>
      </c>
      <c r="C21" s="9">
        <f t="shared" si="8"/>
        <v>44677</v>
      </c>
      <c r="D21" s="6">
        <f>IFERROR(IF(B21&lt;&gt;"",PPMT(Input!$E$18/12,B21,$C$6,Input!$E$17),"")," ")</f>
        <v>-814.54307574124584</v>
      </c>
      <c r="E21" s="6">
        <f>IFERROR(IPMT(Input!$E$18/12,B21,$C$6,Input!$E$17)," ")</f>
        <v>-46.85158871934744</v>
      </c>
      <c r="F21" s="6">
        <f t="shared" si="2"/>
        <v>-3245.1973059859542</v>
      </c>
      <c r="G21" s="6">
        <f t="shared" si="3"/>
        <v>-200.38135185641909</v>
      </c>
      <c r="H21" s="6">
        <f t="shared" si="4"/>
        <v>-861.39466446059328</v>
      </c>
      <c r="I21" s="6">
        <f t="shared" si="5"/>
        <v>16754.802694014044</v>
      </c>
      <c r="J21" s="6" t="str">
        <f>IF(B21&lt;&gt;"",IF(AND(Input!$H$17="Annual",MOD(B21,12)=0),Input!$J$17,IF(AND(Input!$H$17="1st Installment",B21=1),Input!$J$17,IF(Input!$H$17="Monthly",Input!$J$17,""))),"")</f>
        <v/>
      </c>
      <c r="K21" s="6" t="str">
        <f>IF(B21&lt;&gt;"",IF(AND(Input!$H$18="Annual",MOD(B21,12)=0),Input!$J$18,IF(AND(Input!$H$18="1st Installment",B21=1),Input!$J$18,IF(Input!$H$18="Monthly",Input!$J$18,""))),"")</f>
        <v/>
      </c>
      <c r="L21" s="6" t="str">
        <f>IF(B21&lt;&gt;"",IF(AND(Input!$H$19="Annual",MOD(B21,12)=0),Input!$J$19,IF(AND(Input!$H$19="1st Installment",B21=1),Input!$J$19,IF(Input!$H$19="Monthly",Input!$J$19,IF(AND(Input!$H$19="End of the loan",B21=Input!$E$22),Input!$J$19,"")))),"")</f>
        <v/>
      </c>
      <c r="M21" s="6">
        <f t="shared" si="0"/>
        <v>0</v>
      </c>
      <c r="N21" s="4">
        <f t="shared" si="1"/>
        <v>861.39466446059328</v>
      </c>
      <c r="R21" s="9">
        <f>IF(EDATE(Input!$E$25,Input!$E$22-1)&lt;=R20,"",EDATE(R20,1))</f>
        <v>44677</v>
      </c>
      <c r="S21" s="5">
        <f t="shared" si="6"/>
        <v>861.39</v>
      </c>
      <c r="T21" s="135"/>
    </row>
    <row r="22" spans="2:22">
      <c r="B22" s="16">
        <f t="shared" si="7"/>
        <v>5</v>
      </c>
      <c r="C22" s="9">
        <f t="shared" si="8"/>
        <v>44707</v>
      </c>
      <c r="D22" s="6">
        <f>IFERROR(IF(B22&lt;&gt;"",PPMT(Input!$E$18/12,B22,$C$6,Input!$E$17),"")," ")</f>
        <v>-816.71519060988919</v>
      </c>
      <c r="E22" s="6">
        <f>IFERROR(IPMT(Input!$E$18/12,B22,$C$6,Input!$E$17)," ")</f>
        <v>-44.679473850704106</v>
      </c>
      <c r="F22" s="6">
        <f t="shared" si="2"/>
        <v>-4061.9124965958435</v>
      </c>
      <c r="G22" s="6">
        <f t="shared" si="3"/>
        <v>-245.0608257071232</v>
      </c>
      <c r="H22" s="6">
        <f t="shared" si="4"/>
        <v>-861.39466446059328</v>
      </c>
      <c r="I22" s="6">
        <f t="shared" si="5"/>
        <v>15938.087503404155</v>
      </c>
      <c r="J22" s="6" t="str">
        <f>IF(B22&lt;&gt;"",IF(AND(Input!$H$17="Annual",MOD(B22,12)=0),Input!$J$17,IF(AND(Input!$H$17="1st Installment",B22=1),Input!$J$17,IF(Input!$H$17="Monthly",Input!$J$17,""))),"")</f>
        <v/>
      </c>
      <c r="K22" s="6" t="str">
        <f>IF(B22&lt;&gt;"",IF(AND(Input!$H$18="Annual",MOD(B22,12)=0),Input!$J$18,IF(AND(Input!$H$18="1st Installment",B22=1),Input!$J$18,IF(Input!$H$18="Monthly",Input!$J$18,""))),"")</f>
        <v/>
      </c>
      <c r="L22" s="6" t="str">
        <f>IF(B22&lt;&gt;"",IF(AND(Input!$H$19="Annual",MOD(B22,12)=0),Input!$J$19,IF(AND(Input!$H$19="1st Installment",B22=1),Input!$J$19,IF(Input!$H$19="Monthly",Input!$J$19,IF(AND(Input!$H$19="End of the loan",B22=Input!$E$22),Input!$J$19,"")))),"")</f>
        <v/>
      </c>
      <c r="M22" s="6">
        <f t="shared" si="0"/>
        <v>0</v>
      </c>
      <c r="N22" s="4">
        <f t="shared" si="1"/>
        <v>861.39466446059328</v>
      </c>
      <c r="R22" s="9">
        <f>IF(EDATE(Input!$E$25,Input!$E$22-1)&lt;=R21,"",EDATE(R21,1))</f>
        <v>44707</v>
      </c>
      <c r="S22" s="5">
        <f t="shared" si="6"/>
        <v>861.39</v>
      </c>
      <c r="T22" s="135"/>
    </row>
    <row r="23" spans="2:22">
      <c r="B23" s="16">
        <f t="shared" si="7"/>
        <v>6</v>
      </c>
      <c r="C23" s="9">
        <f t="shared" si="8"/>
        <v>44738</v>
      </c>
      <c r="D23" s="6">
        <f>IFERROR(IF(B23&lt;&gt;"",PPMT(Input!$E$18/12,B23,$C$6,Input!$E$17),"")," ")</f>
        <v>-818.89309778484903</v>
      </c>
      <c r="E23" s="6">
        <f>IFERROR(IPMT(Input!$E$18/12,B23,$C$6,Input!$E$17)," ")</f>
        <v>-42.501566675744414</v>
      </c>
      <c r="F23" s="6">
        <f t="shared" si="2"/>
        <v>-4880.8055943806921</v>
      </c>
      <c r="G23" s="6">
        <f t="shared" si="3"/>
        <v>-287.56239238286764</v>
      </c>
      <c r="H23" s="6">
        <f t="shared" si="4"/>
        <v>-861.3946644605935</v>
      </c>
      <c r="I23" s="6">
        <f t="shared" si="5"/>
        <v>15119.194405619306</v>
      </c>
      <c r="J23" s="6" t="str">
        <f>IF(B23&lt;&gt;"",IF(AND(Input!$H$17="Annual",MOD(B23,12)=0),Input!$J$17,IF(AND(Input!$H$17="1st Installment",B23=1),Input!$J$17,IF(Input!$H$17="Monthly",Input!$J$17,""))),"")</f>
        <v/>
      </c>
      <c r="K23" s="6" t="str">
        <f>IF(B23&lt;&gt;"",IF(AND(Input!$H$18="Annual",MOD(B23,12)=0),Input!$J$18,IF(AND(Input!$H$18="1st Installment",B23=1),Input!$J$18,IF(Input!$H$18="Monthly",Input!$J$18,""))),"")</f>
        <v/>
      </c>
      <c r="L23" s="6" t="str">
        <f>IF(B23&lt;&gt;"",IF(AND(Input!$H$19="Annual",MOD(B23,12)=0),Input!$J$19,IF(AND(Input!$H$19="1st Installment",B23=1),Input!$J$19,IF(Input!$H$19="Monthly",Input!$J$19,IF(AND(Input!$H$19="End of the loan",B23=Input!$E$22),Input!$J$19,"")))),"")</f>
        <v/>
      </c>
      <c r="M23" s="6">
        <f t="shared" si="0"/>
        <v>0</v>
      </c>
      <c r="N23" s="4">
        <f t="shared" si="1"/>
        <v>861.3946644605935</v>
      </c>
      <c r="R23" s="9">
        <f>IF(EDATE(Input!$E$25,Input!$E$22-1)&lt;=R22,"",EDATE(R22,1))</f>
        <v>44738</v>
      </c>
      <c r="S23" s="5">
        <f t="shared" si="6"/>
        <v>861.39</v>
      </c>
      <c r="T23" s="135"/>
    </row>
    <row r="24" spans="2:22">
      <c r="B24" s="16">
        <f t="shared" si="7"/>
        <v>7</v>
      </c>
      <c r="C24" s="9">
        <f t="shared" si="8"/>
        <v>44768</v>
      </c>
      <c r="D24" s="6">
        <f>IFERROR(IF(B24&lt;&gt;"",PPMT(Input!$E$18/12,B24,$C$6,Input!$E$17),"")," ")</f>
        <v>-821.07681271227523</v>
      </c>
      <c r="E24" s="6">
        <f>IFERROR(IPMT(Input!$E$18/12,B24,$C$6,Input!$E$17)," ")</f>
        <v>-40.317851748318141</v>
      </c>
      <c r="F24" s="6">
        <f t="shared" si="2"/>
        <v>-5701.8824070929677</v>
      </c>
      <c r="G24" s="6">
        <f t="shared" si="3"/>
        <v>-327.8802441311858</v>
      </c>
      <c r="H24" s="6">
        <f t="shared" si="4"/>
        <v>-861.39466446059339</v>
      </c>
      <c r="I24" s="6">
        <f t="shared" si="5"/>
        <v>14298.11759290703</v>
      </c>
      <c r="J24" s="6" t="str">
        <f>IF(B24&lt;&gt;"",IF(AND(Input!$H$17="Annual",MOD(B24,12)=0),Input!$J$17,IF(AND(Input!$H$17="1st Installment",B24=1),Input!$J$17,IF(Input!$H$17="Monthly",Input!$J$17,""))),"")</f>
        <v/>
      </c>
      <c r="K24" s="6" t="str">
        <f>IF(B24&lt;&gt;"",IF(AND(Input!$H$18="Annual",MOD(B24,12)=0),Input!$J$18,IF(AND(Input!$H$18="1st Installment",B24=1),Input!$J$18,IF(Input!$H$18="Monthly",Input!$J$18,""))),"")</f>
        <v/>
      </c>
      <c r="L24" s="6" t="str">
        <f>IF(B24&lt;&gt;"",IF(AND(Input!$H$19="Annual",MOD(B24,12)=0),Input!$J$19,IF(AND(Input!$H$19="1st Installment",B24=1),Input!$J$19,IF(Input!$H$19="Monthly",Input!$J$19,IF(AND(Input!$H$19="End of the loan",B24=Input!$E$22),Input!$J$19,"")))),"")</f>
        <v/>
      </c>
      <c r="M24" s="6">
        <f t="shared" si="0"/>
        <v>0</v>
      </c>
      <c r="N24" s="4">
        <f t="shared" si="1"/>
        <v>861.39466446059339</v>
      </c>
      <c r="R24" s="9">
        <f>IF(EDATE(Input!$E$25,Input!$E$22-1)&lt;=R23,"",EDATE(R23,1))</f>
        <v>44768</v>
      </c>
      <c r="S24" s="5">
        <f t="shared" si="6"/>
        <v>861.39</v>
      </c>
      <c r="T24" s="135"/>
    </row>
    <row r="25" spans="2:22">
      <c r="B25" s="16">
        <f t="shared" si="7"/>
        <v>8</v>
      </c>
      <c r="C25" s="9">
        <f t="shared" si="8"/>
        <v>44799</v>
      </c>
      <c r="D25" s="6">
        <f>IFERROR(IF(B25&lt;&gt;"",PPMT(Input!$E$18/12,B25,$C$6,Input!$E$17),"")," ")</f>
        <v>-823.26635087950785</v>
      </c>
      <c r="E25" s="6">
        <f>IFERROR(IPMT(Input!$E$18/12,B25,$C$6,Input!$E$17)," ")</f>
        <v>-38.128313581085408</v>
      </c>
      <c r="F25" s="6">
        <f t="shared" si="2"/>
        <v>-6525.1487579724753</v>
      </c>
      <c r="G25" s="6">
        <f t="shared" si="3"/>
        <v>-366.00855771227123</v>
      </c>
      <c r="H25" s="6">
        <f t="shared" si="4"/>
        <v>-861.39466446059328</v>
      </c>
      <c r="I25" s="6">
        <f t="shared" si="5"/>
        <v>13474.851242027522</v>
      </c>
      <c r="J25" s="6" t="str">
        <f>IF(B25&lt;&gt;"",IF(AND(Input!$H$17="Annual",MOD(B25,12)=0),Input!$J$17,IF(AND(Input!$H$17="1st Installment",B25=1),Input!$J$17,IF(Input!$H$17="Monthly",Input!$J$17,""))),"")</f>
        <v/>
      </c>
      <c r="K25" s="6" t="str">
        <f>IF(B25&lt;&gt;"",IF(AND(Input!$H$18="Annual",MOD(B25,12)=0),Input!$J$18,IF(AND(Input!$H$18="1st Installment",B25=1),Input!$J$18,IF(Input!$H$18="Monthly",Input!$J$18,""))),"")</f>
        <v/>
      </c>
      <c r="L25" s="6" t="str">
        <f>IF(B25&lt;&gt;"",IF(AND(Input!$H$19="Annual",MOD(B25,12)=0),Input!$J$19,IF(AND(Input!$H$19="1st Installment",B25=1),Input!$J$19,IF(Input!$H$19="Monthly",Input!$J$19,IF(AND(Input!$H$19="End of the loan",B25=Input!$E$22),Input!$J$19,"")))),"")</f>
        <v/>
      </c>
      <c r="M25" s="6">
        <f t="shared" si="0"/>
        <v>0</v>
      </c>
      <c r="N25" s="4">
        <f t="shared" si="1"/>
        <v>861.39466446059328</v>
      </c>
      <c r="R25" s="9">
        <f>IF(EDATE(Input!$E$25,Input!$E$22-1)&lt;=R24,"",EDATE(R24,1))</f>
        <v>44799</v>
      </c>
      <c r="S25" s="5">
        <f t="shared" si="6"/>
        <v>861.39</v>
      </c>
      <c r="T25" s="135"/>
    </row>
    <row r="26" spans="2:22">
      <c r="B26" s="16">
        <f t="shared" si="7"/>
        <v>9</v>
      </c>
      <c r="C26" s="9">
        <f t="shared" si="8"/>
        <v>44830</v>
      </c>
      <c r="D26" s="6">
        <f>IFERROR(IF(B26&lt;&gt;"",PPMT(Input!$E$18/12,B26,$C$6,Input!$E$17),"")," ")</f>
        <v>-825.46172781518658</v>
      </c>
      <c r="E26" s="6">
        <f>IFERROR(IPMT(Input!$E$18/12,B26,$C$6,Input!$E$17)," ")</f>
        <v>-35.932936645406727</v>
      </c>
      <c r="F26" s="6">
        <f t="shared" si="2"/>
        <v>-7350.6104857876617</v>
      </c>
      <c r="G26" s="6">
        <f t="shared" si="3"/>
        <v>-401.94149435767793</v>
      </c>
      <c r="H26" s="6">
        <f t="shared" si="4"/>
        <v>-861.39466446059328</v>
      </c>
      <c r="I26" s="6">
        <f t="shared" si="5"/>
        <v>12649.389514212335</v>
      </c>
      <c r="J26" s="6" t="str">
        <f>IF(B26&lt;&gt;"",IF(AND(Input!$H$17="Annual",MOD(B26,12)=0),Input!$J$17,IF(AND(Input!$H$17="1st Installment",B26=1),Input!$J$17,IF(Input!$H$17="Monthly",Input!$J$17,""))),"")</f>
        <v/>
      </c>
      <c r="K26" s="6" t="str">
        <f>IF(B26&lt;&gt;"",IF(AND(Input!$H$18="Annual",MOD(B26,12)=0),Input!$J$18,IF(AND(Input!$H$18="1st Installment",B26=1),Input!$J$18,IF(Input!$H$18="Monthly",Input!$J$18,""))),"")</f>
        <v/>
      </c>
      <c r="L26" s="6" t="str">
        <f>IF(B26&lt;&gt;"",IF(AND(Input!$H$19="Annual",MOD(B26,12)=0),Input!$J$19,IF(AND(Input!$H$19="1st Installment",B26=1),Input!$J$19,IF(Input!$H$19="Monthly",Input!$J$19,IF(AND(Input!$H$19="End of the loan",B26=Input!$E$22),Input!$J$19,"")))),"")</f>
        <v/>
      </c>
      <c r="M26" s="6">
        <f t="shared" si="0"/>
        <v>0</v>
      </c>
      <c r="N26" s="4">
        <f t="shared" si="1"/>
        <v>861.39466446059328</v>
      </c>
      <c r="R26" s="9">
        <f>IF(EDATE(Input!$E$25,Input!$E$22-1)&lt;=R25,"",EDATE(R25,1))</f>
        <v>44830</v>
      </c>
      <c r="S26" s="5">
        <f t="shared" si="6"/>
        <v>861.39</v>
      </c>
      <c r="T26" s="135"/>
    </row>
    <row r="27" spans="2:22">
      <c r="B27" s="16">
        <f t="shared" si="7"/>
        <v>10</v>
      </c>
      <c r="C27" s="9">
        <f t="shared" si="8"/>
        <v>44860</v>
      </c>
      <c r="D27" s="6">
        <f>IFERROR(IF(B27&lt;&gt;"",PPMT(Input!$E$18/12,B27,$C$6,Input!$E$17),"")," ")</f>
        <v>-827.66295908936047</v>
      </c>
      <c r="E27" s="6">
        <f>IFERROR(IPMT(Input!$E$18/12,B27,$C$6,Input!$E$17)," ")</f>
        <v>-33.731705371232898</v>
      </c>
      <c r="F27" s="6">
        <f t="shared" si="2"/>
        <v>-8178.2734448770225</v>
      </c>
      <c r="G27" s="6">
        <f t="shared" si="3"/>
        <v>-435.67319972891084</v>
      </c>
      <c r="H27" s="6">
        <f t="shared" si="4"/>
        <v>-861.39466446059339</v>
      </c>
      <c r="I27" s="6">
        <f t="shared" si="5"/>
        <v>11821.726555122974</v>
      </c>
      <c r="J27" s="6" t="str">
        <f>IF(B27&lt;&gt;"",IF(AND(Input!$H$17="Annual",MOD(B27,12)=0),Input!$J$17,IF(AND(Input!$H$17="1st Installment",B27=1),Input!$J$17,IF(Input!$H$17="Monthly",Input!$J$17,""))),"")</f>
        <v/>
      </c>
      <c r="K27" s="6" t="str">
        <f>IF(B27&lt;&gt;"",IF(AND(Input!$H$18="Annual",MOD(B27,12)=0),Input!$J$18,IF(AND(Input!$H$18="1st Installment",B27=1),Input!$J$18,IF(Input!$H$18="Monthly",Input!$J$18,""))),"")</f>
        <v/>
      </c>
      <c r="L27" s="6" t="str">
        <f>IF(B27&lt;&gt;"",IF(AND(Input!$H$19="Annual",MOD(B27,12)=0),Input!$J$19,IF(AND(Input!$H$19="1st Installment",B27=1),Input!$J$19,IF(Input!$H$19="Monthly",Input!$J$19,IF(AND(Input!$H$19="End of the loan",B27=Input!$E$22),Input!$J$19,"")))),"")</f>
        <v/>
      </c>
      <c r="M27" s="6">
        <f t="shared" si="0"/>
        <v>0</v>
      </c>
      <c r="N27" s="4">
        <f t="shared" si="1"/>
        <v>861.39466446059339</v>
      </c>
      <c r="R27" s="9">
        <f>IF(EDATE(Input!$E$25,Input!$E$22-1)&lt;=R26,"",EDATE(R26,1))</f>
        <v>44860</v>
      </c>
      <c r="S27" s="5">
        <f t="shared" si="6"/>
        <v>861.39</v>
      </c>
      <c r="T27" s="135"/>
    </row>
    <row r="28" spans="2:22">
      <c r="B28" s="16">
        <f t="shared" si="7"/>
        <v>11</v>
      </c>
      <c r="C28" s="9">
        <f t="shared" si="8"/>
        <v>44891</v>
      </c>
      <c r="D28" s="6">
        <f>IFERROR(IF(B28&lt;&gt;"",PPMT(Input!$E$18/12,B28,$C$6,Input!$E$17),"")," ")</f>
        <v>-829.87006031359874</v>
      </c>
      <c r="E28" s="6">
        <f>IFERROR(IPMT(Input!$E$18/12,B28,$C$6,Input!$E$17)," ")</f>
        <v>-31.524604146994594</v>
      </c>
      <c r="F28" s="6">
        <f t="shared" si="2"/>
        <v>-9008.143505190621</v>
      </c>
      <c r="G28" s="6">
        <f t="shared" si="3"/>
        <v>-467.19780387590544</v>
      </c>
      <c r="H28" s="6">
        <f t="shared" si="4"/>
        <v>-861.39466446059339</v>
      </c>
      <c r="I28" s="6">
        <f t="shared" si="5"/>
        <v>10991.856494809375</v>
      </c>
      <c r="J28" s="6" t="str">
        <f>IF(B28&lt;&gt;"",IF(AND(Input!$H$17="Annual",MOD(B28,12)=0),Input!$J$17,IF(AND(Input!$H$17="1st Installment",B28=1),Input!$J$17,IF(Input!$H$17="Monthly",Input!$J$17,""))),"")</f>
        <v/>
      </c>
      <c r="K28" s="6" t="str">
        <f>IF(B28&lt;&gt;"",IF(AND(Input!$H$18="Annual",MOD(B28,12)=0),Input!$J$18,IF(AND(Input!$H$18="1st Installment",B28=1),Input!$J$18,IF(Input!$H$18="Monthly",Input!$J$18,""))),"")</f>
        <v/>
      </c>
      <c r="L28" s="6" t="str">
        <f>IF(B28&lt;&gt;"",IF(AND(Input!$H$19="Annual",MOD(B28,12)=0),Input!$J$19,IF(AND(Input!$H$19="1st Installment",B28=1),Input!$J$19,IF(Input!$H$19="Monthly",Input!$J$19,IF(AND(Input!$H$19="End of the loan",B28=Input!$E$22),Input!$J$19,"")))),"")</f>
        <v/>
      </c>
      <c r="M28" s="6">
        <f t="shared" si="0"/>
        <v>0</v>
      </c>
      <c r="N28" s="4">
        <f t="shared" si="1"/>
        <v>861.39466446059339</v>
      </c>
      <c r="R28" s="9">
        <f>IF(EDATE(Input!$E$25,Input!$E$22-1)&lt;=R27,"",EDATE(R27,1))</f>
        <v>44891</v>
      </c>
      <c r="S28" s="5">
        <f t="shared" si="6"/>
        <v>861.39</v>
      </c>
      <c r="T28" s="135"/>
    </row>
    <row r="29" spans="2:22">
      <c r="B29" s="16">
        <f t="shared" si="7"/>
        <v>12</v>
      </c>
      <c r="C29" s="9">
        <f t="shared" si="8"/>
        <v>44921</v>
      </c>
      <c r="D29" s="6">
        <f>IFERROR(IF(B29&lt;&gt;"",PPMT(Input!$E$18/12,B29,$C$6,Input!$E$17),"")," ")</f>
        <v>-832.0830471411017</v>
      </c>
      <c r="E29" s="6">
        <f>IFERROR(IPMT(Input!$E$18/12,B29,$C$6,Input!$E$17)," ")</f>
        <v>-29.31161731949167</v>
      </c>
      <c r="F29" s="6">
        <f t="shared" si="2"/>
        <v>-9840.2265523317219</v>
      </c>
      <c r="G29" s="6">
        <f t="shared" si="3"/>
        <v>-496.50942119539712</v>
      </c>
      <c r="H29" s="6">
        <f t="shared" si="4"/>
        <v>-861.39466446059339</v>
      </c>
      <c r="I29" s="6">
        <f t="shared" si="5"/>
        <v>10159.773447668274</v>
      </c>
      <c r="J29" s="6" t="str">
        <f>IF(B29&lt;&gt;"",IF(AND(Input!$H$17="Annual",MOD(B29,12)=0),Input!$J$17,IF(AND(Input!$H$17="1st Installment",B29=1),Input!$J$17,IF(Input!$H$17="Monthly",Input!$J$17,""))),"")</f>
        <v/>
      </c>
      <c r="K29" s="6">
        <f>IF(B29&lt;&gt;"",IF(AND(Input!$H$18="Annual",MOD(B29,12)=0),Input!$J$18,IF(AND(Input!$H$18="1st Installment",B29=1),Input!$J$18,IF(Input!$H$18="Monthly",Input!$J$18,""))),"")</f>
        <v>0</v>
      </c>
      <c r="L29" s="6" t="str">
        <f>IF(B29&lt;&gt;"",IF(AND(Input!$H$19="Annual",MOD(B29,12)=0),Input!$J$19,IF(AND(Input!$H$19="1st Installment",B29=1),Input!$J$19,IF(Input!$H$19="Monthly",Input!$J$19,IF(AND(Input!$H$19="End of the loan",B29=Input!$E$22),Input!$J$19,"")))),"")</f>
        <v/>
      </c>
      <c r="M29" s="6">
        <f t="shared" si="0"/>
        <v>0</v>
      </c>
      <c r="N29" s="4">
        <f t="shared" si="1"/>
        <v>861.39466446059339</v>
      </c>
      <c r="R29" s="9">
        <f>IF(EDATE(Input!$E$25,Input!$E$22-1)&lt;=R28,"",EDATE(R28,1))</f>
        <v>44921</v>
      </c>
      <c r="S29" s="5">
        <f t="shared" si="6"/>
        <v>861.39</v>
      </c>
      <c r="T29" s="135"/>
    </row>
    <row r="30" spans="2:22">
      <c r="B30" s="16">
        <f t="shared" si="7"/>
        <v>13</v>
      </c>
      <c r="C30" s="9">
        <f t="shared" si="8"/>
        <v>44952</v>
      </c>
      <c r="D30" s="6">
        <f>IFERROR(IF(B30&lt;&gt;"",PPMT(Input!$E$18/12,B30,$C$6,Input!$E$17),"")," ")</f>
        <v>-834.30193526681126</v>
      </c>
      <c r="E30" s="6">
        <f>IFERROR(IPMT(Input!$E$18/12,B30,$C$6,Input!$E$17)," ")</f>
        <v>-27.09272919378207</v>
      </c>
      <c r="F30" s="6">
        <f t="shared" si="2"/>
        <v>-10674.528487598533</v>
      </c>
      <c r="G30" s="6">
        <f t="shared" si="3"/>
        <v>-523.6021503891792</v>
      </c>
      <c r="H30" s="6">
        <f t="shared" si="4"/>
        <v>-861.39466446059328</v>
      </c>
      <c r="I30" s="6">
        <f t="shared" si="5"/>
        <v>9325.4715124014638</v>
      </c>
      <c r="J30" s="6" t="str">
        <f>IF(B30&lt;&gt;"",IF(AND(Input!$H$17="Annual",MOD(B30,12)=0),Input!$J$17,IF(AND(Input!$H$17="1st Installment",B30=1),Input!$J$17,IF(Input!$H$17="Monthly",Input!$J$17,""))),"")</f>
        <v/>
      </c>
      <c r="K30" s="6" t="str">
        <f>IF(B30&lt;&gt;"",IF(AND(Input!$H$18="Annual",MOD(B30,12)=0),Input!$J$18,IF(AND(Input!$H$18="1st Installment",B30=1),Input!$J$18,IF(Input!$H$18="Monthly",Input!$J$18,""))),"")</f>
        <v/>
      </c>
      <c r="L30" s="6" t="str">
        <f>IF(B30&lt;&gt;"",IF(AND(Input!$H$19="Annual",MOD(B30,12)=0),Input!$J$19,IF(AND(Input!$H$19="1st Installment",B30=1),Input!$J$19,IF(Input!$H$19="Monthly",Input!$J$19,IF(AND(Input!$H$19="End of the loan",B30=Input!$E$22),Input!$J$19,"")))),"")</f>
        <v/>
      </c>
      <c r="M30" s="6">
        <f t="shared" si="0"/>
        <v>0</v>
      </c>
      <c r="N30" s="4">
        <f t="shared" si="1"/>
        <v>861.39466446059328</v>
      </c>
      <c r="R30" s="9">
        <f>IF(EDATE(Input!$E$25,Input!$E$22-1)&lt;=R29,"",EDATE(R29,1))</f>
        <v>44952</v>
      </c>
      <c r="S30" s="5">
        <f t="shared" si="6"/>
        <v>861.39</v>
      </c>
      <c r="T30" s="135"/>
    </row>
    <row r="31" spans="2:22">
      <c r="B31" s="16">
        <f t="shared" si="7"/>
        <v>14</v>
      </c>
      <c r="C31" s="9">
        <f t="shared" si="8"/>
        <v>44983</v>
      </c>
      <c r="D31" s="6">
        <f>IFERROR(IF(B31&lt;&gt;"",PPMT(Input!$E$18/12,B31,$C$6,Input!$E$17),"")," ")</f>
        <v>-836.52674042752278</v>
      </c>
      <c r="E31" s="6">
        <f>IFERROR(IPMT(Input!$E$18/12,B31,$C$6,Input!$E$17)," ")</f>
        <v>-24.867924033070569</v>
      </c>
      <c r="F31" s="6">
        <f t="shared" si="2"/>
        <v>-11511.055228026056</v>
      </c>
      <c r="G31" s="6">
        <f t="shared" si="3"/>
        <v>-548.47007442224981</v>
      </c>
      <c r="H31" s="6">
        <f t="shared" si="4"/>
        <v>-861.39466446059339</v>
      </c>
      <c r="I31" s="6">
        <f t="shared" si="5"/>
        <v>8488.9447719739401</v>
      </c>
      <c r="J31" s="6" t="str">
        <f>IF(B31&lt;&gt;"",IF(AND(Input!$H$17="Annual",MOD(B31,12)=0),Input!$J$17,IF(AND(Input!$H$17="1st Installment",B31=1),Input!$J$17,IF(Input!$H$17="Monthly",Input!$J$17,""))),"")</f>
        <v/>
      </c>
      <c r="K31" s="6" t="str">
        <f>IF(B31&lt;&gt;"",IF(AND(Input!$H$18="Annual",MOD(B31,12)=0),Input!$J$18,IF(AND(Input!$H$18="1st Installment",B31=1),Input!$J$18,IF(Input!$H$18="Monthly",Input!$J$18,""))),"")</f>
        <v/>
      </c>
      <c r="L31" s="6" t="str">
        <f>IF(B31&lt;&gt;"",IF(AND(Input!$H$19="Annual",MOD(B31,12)=0),Input!$J$19,IF(AND(Input!$H$19="1st Installment",B31=1),Input!$J$19,IF(Input!$H$19="Monthly",Input!$J$19,IF(AND(Input!$H$19="End of the loan",B31=Input!$E$22),Input!$J$19,"")))),"")</f>
        <v/>
      </c>
      <c r="M31" s="6">
        <f t="shared" si="0"/>
        <v>0</v>
      </c>
      <c r="N31" s="4">
        <f t="shared" si="1"/>
        <v>861.39466446059339</v>
      </c>
      <c r="R31" s="9">
        <f>IF(EDATE(Input!$E$25,Input!$E$22-1)&lt;=R30,"",EDATE(R30,1))</f>
        <v>44983</v>
      </c>
      <c r="S31" s="5">
        <f t="shared" si="6"/>
        <v>861.39</v>
      </c>
      <c r="T31" s="135"/>
    </row>
    <row r="32" spans="2:22">
      <c r="B32" s="16">
        <f t="shared" si="7"/>
        <v>15</v>
      </c>
      <c r="C32" s="9">
        <f t="shared" si="8"/>
        <v>45011</v>
      </c>
      <c r="D32" s="6">
        <f>IFERROR(IF(B32&lt;&gt;"",PPMT(Input!$E$18/12,B32,$C$6,Input!$E$17),"")," ")</f>
        <v>-838.7574784019962</v>
      </c>
      <c r="E32" s="6">
        <f>IFERROR(IPMT(Input!$E$18/12,B32,$C$6,Input!$E$17)," ")</f>
        <v>-22.637186058597173</v>
      </c>
      <c r="F32" s="6">
        <f t="shared" si="2"/>
        <v>-12349.812706428052</v>
      </c>
      <c r="G32" s="6">
        <f t="shared" si="3"/>
        <v>-571.107260480847</v>
      </c>
      <c r="H32" s="6">
        <f t="shared" si="4"/>
        <v>-861.39466446059339</v>
      </c>
      <c r="I32" s="6">
        <f t="shared" si="5"/>
        <v>7650.1872935719439</v>
      </c>
      <c r="J32" s="6" t="str">
        <f>IF(B32&lt;&gt;"",IF(AND(Input!$H$17="Annual",MOD(B32,12)=0),Input!$J$17,IF(AND(Input!$H$17="1st Installment",B32=1),Input!$J$17,IF(Input!$H$17="Monthly",Input!$J$17,""))),"")</f>
        <v/>
      </c>
      <c r="K32" s="6" t="str">
        <f>IF(B32&lt;&gt;"",IF(AND(Input!$H$18="Annual",MOD(B32,12)=0),Input!$J$18,IF(AND(Input!$H$18="1st Installment",B32=1),Input!$J$18,IF(Input!$H$18="Monthly",Input!$J$18,""))),"")</f>
        <v/>
      </c>
      <c r="L32" s="6" t="str">
        <f>IF(B32&lt;&gt;"",IF(AND(Input!$H$19="Annual",MOD(B32,12)=0),Input!$J$19,IF(AND(Input!$H$19="1st Installment",B32=1),Input!$J$19,IF(Input!$H$19="Monthly",Input!$J$19,IF(AND(Input!$H$19="End of the loan",B32=Input!$E$22),Input!$J$19,"")))),"")</f>
        <v/>
      </c>
      <c r="M32" s="6">
        <f t="shared" si="0"/>
        <v>0</v>
      </c>
      <c r="N32" s="4">
        <f t="shared" si="1"/>
        <v>861.39466446059339</v>
      </c>
      <c r="R32" s="9">
        <f>IF(EDATE(Input!$E$25,Input!$E$22-1)&lt;=R31,"",EDATE(R31,1))</f>
        <v>45011</v>
      </c>
      <c r="S32" s="5">
        <f t="shared" si="6"/>
        <v>861.39</v>
      </c>
      <c r="T32" s="135"/>
    </row>
    <row r="33" spans="2:20">
      <c r="B33" s="16">
        <f t="shared" si="7"/>
        <v>16</v>
      </c>
      <c r="C33" s="9">
        <f t="shared" si="8"/>
        <v>45042</v>
      </c>
      <c r="D33" s="6">
        <f>IFERROR(IF(B33&lt;&gt;"",PPMT(Input!$E$18/12,B33,$C$6,Input!$E$17),"")," ")</f>
        <v>-840.99416501106816</v>
      </c>
      <c r="E33" s="6">
        <f>IFERROR(IPMT(Input!$E$18/12,B33,$C$6,Input!$E$17)," ")</f>
        <v>-20.400499449525189</v>
      </c>
      <c r="F33" s="6">
        <f t="shared" si="2"/>
        <v>-13190.806871439121</v>
      </c>
      <c r="G33" s="6">
        <f t="shared" si="3"/>
        <v>-591.50775993037223</v>
      </c>
      <c r="H33" s="6">
        <f t="shared" si="4"/>
        <v>-861.39466446059339</v>
      </c>
      <c r="I33" s="6">
        <f t="shared" si="5"/>
        <v>6809.1931285608753</v>
      </c>
      <c r="J33" s="6" t="str">
        <f>IF(B33&lt;&gt;"",IF(AND(Input!$H$17="Annual",MOD(B33,12)=0),Input!$J$17,IF(AND(Input!$H$17="1st Installment",B33=1),Input!$J$17,IF(Input!$H$17="Monthly",Input!$J$17,""))),"")</f>
        <v/>
      </c>
      <c r="K33" s="6" t="str">
        <f>IF(B33&lt;&gt;"",IF(AND(Input!$H$18="Annual",MOD(B33,12)=0),Input!$J$18,IF(AND(Input!$H$18="1st Installment",B33=1),Input!$J$18,IF(Input!$H$18="Monthly",Input!$J$18,""))),"")</f>
        <v/>
      </c>
      <c r="L33" s="6" t="str">
        <f>IF(B33&lt;&gt;"",IF(AND(Input!$H$19="Annual",MOD(B33,12)=0),Input!$J$19,IF(AND(Input!$H$19="1st Installment",B33=1),Input!$J$19,IF(Input!$H$19="Monthly",Input!$J$19,IF(AND(Input!$H$19="End of the loan",B33=Input!$E$22),Input!$J$19,"")))),"")</f>
        <v/>
      </c>
      <c r="M33" s="6">
        <f t="shared" si="0"/>
        <v>0</v>
      </c>
      <c r="N33" s="4">
        <f t="shared" si="1"/>
        <v>861.39466446059339</v>
      </c>
      <c r="R33" s="9">
        <f>IF(EDATE(Input!$E$25,Input!$E$22-1)&lt;=R32,"",EDATE(R32,1))</f>
        <v>45042</v>
      </c>
      <c r="S33" s="5">
        <f t="shared" si="6"/>
        <v>861.39</v>
      </c>
      <c r="T33" s="135"/>
    </row>
    <row r="34" spans="2:20">
      <c r="B34" s="16">
        <f t="shared" si="7"/>
        <v>17</v>
      </c>
      <c r="C34" s="9">
        <f t="shared" si="8"/>
        <v>45072</v>
      </c>
      <c r="D34" s="6">
        <f>IFERROR(IF(B34&lt;&gt;"",PPMT(Input!$E$18/12,B34,$C$6,Input!$E$17),"")," ")</f>
        <v>-843.23681611776431</v>
      </c>
      <c r="E34" s="6">
        <f>IFERROR(IPMT(Input!$E$18/12,B34,$C$6,Input!$E$17)," ")</f>
        <v>-18.157848342829006</v>
      </c>
      <c r="F34" s="6">
        <f t="shared" si="2"/>
        <v>-14034.043687556885</v>
      </c>
      <c r="G34" s="6">
        <f t="shared" si="3"/>
        <v>-609.6656082732012</v>
      </c>
      <c r="H34" s="6">
        <f t="shared" si="4"/>
        <v>-861.39466446059328</v>
      </c>
      <c r="I34" s="6">
        <f t="shared" si="5"/>
        <v>5965.9563124431106</v>
      </c>
      <c r="J34" s="6" t="str">
        <f>IF(B34&lt;&gt;"",IF(AND(Input!$H$17="Annual",MOD(B34,12)=0),Input!$J$17,IF(AND(Input!$H$17="1st Installment",B34=1),Input!$J$17,IF(Input!$H$17="Monthly",Input!$J$17,""))),"")</f>
        <v/>
      </c>
      <c r="K34" s="6" t="str">
        <f>IF(B34&lt;&gt;"",IF(AND(Input!$H$18="Annual",MOD(B34,12)=0),Input!$J$18,IF(AND(Input!$H$18="1st Installment",B34=1),Input!$J$18,IF(Input!$H$18="Monthly",Input!$J$18,""))),"")</f>
        <v/>
      </c>
      <c r="L34" s="6" t="str">
        <f>IF(B34&lt;&gt;"",IF(AND(Input!$H$19="Annual",MOD(B34,12)=0),Input!$J$19,IF(AND(Input!$H$19="1st Installment",B34=1),Input!$J$19,IF(Input!$H$19="Monthly",Input!$J$19,IF(AND(Input!$H$19="End of the loan",B34=Input!$E$22),Input!$J$19,"")))),"")</f>
        <v/>
      </c>
      <c r="M34" s="6">
        <f t="shared" si="0"/>
        <v>0</v>
      </c>
      <c r="N34" s="4">
        <f t="shared" si="1"/>
        <v>861.39466446059328</v>
      </c>
      <c r="R34" s="9">
        <f>IF(EDATE(Input!$E$25,Input!$E$22-1)&lt;=R33,"",EDATE(R33,1))</f>
        <v>45072</v>
      </c>
      <c r="S34" s="5">
        <f t="shared" si="6"/>
        <v>861.39</v>
      </c>
      <c r="T34" s="135"/>
    </row>
    <row r="35" spans="2:20">
      <c r="B35" s="16">
        <f t="shared" si="7"/>
        <v>18</v>
      </c>
      <c r="C35" s="9">
        <f t="shared" si="8"/>
        <v>45103</v>
      </c>
      <c r="D35" s="6">
        <f>IFERROR(IF(B35&lt;&gt;"",PPMT(Input!$E$18/12,B35,$C$6,Input!$E$17),"")," ")</f>
        <v>-845.48544762741165</v>
      </c>
      <c r="E35" s="6">
        <f>IFERROR(IPMT(Input!$E$18/12,B35,$C$6,Input!$E$17)," ")</f>
        <v>-15.909216833181631</v>
      </c>
      <c r="F35" s="6">
        <f t="shared" si="2"/>
        <v>-14879.529135184297</v>
      </c>
      <c r="G35" s="6">
        <f t="shared" si="3"/>
        <v>-625.57482510638283</v>
      </c>
      <c r="H35" s="6">
        <f t="shared" si="4"/>
        <v>-861.39466446059328</v>
      </c>
      <c r="I35" s="6">
        <f t="shared" si="5"/>
        <v>5120.4708648156993</v>
      </c>
      <c r="J35" s="6" t="str">
        <f>IF(B35&lt;&gt;"",IF(AND(Input!$H$17="Annual",MOD(B35,12)=0),Input!$J$17,IF(AND(Input!$H$17="1st Installment",B35=1),Input!$J$17,IF(Input!$H$17="Monthly",Input!$J$17,""))),"")</f>
        <v/>
      </c>
      <c r="K35" s="6" t="str">
        <f>IF(B35&lt;&gt;"",IF(AND(Input!$H$18="Annual",MOD(B35,12)=0),Input!$J$18,IF(AND(Input!$H$18="1st Installment",B35=1),Input!$J$18,IF(Input!$H$18="Monthly",Input!$J$18,""))),"")</f>
        <v/>
      </c>
      <c r="L35" s="6" t="str">
        <f>IF(B35&lt;&gt;"",IF(AND(Input!$H$19="Annual",MOD(B35,12)=0),Input!$J$19,IF(AND(Input!$H$19="1st Installment",B35=1),Input!$J$19,IF(Input!$H$19="Monthly",Input!$J$19,IF(AND(Input!$H$19="End of the loan",B35=Input!$E$22),Input!$J$19,"")))),"")</f>
        <v/>
      </c>
      <c r="M35" s="6">
        <f t="shared" si="0"/>
        <v>0</v>
      </c>
      <c r="N35" s="4">
        <f t="shared" si="1"/>
        <v>861.39466446059328</v>
      </c>
      <c r="R35" s="9">
        <f>IF(EDATE(Input!$E$25,Input!$E$22-1)&lt;=R34,"",EDATE(R34,1))</f>
        <v>45103</v>
      </c>
      <c r="S35" s="5">
        <f t="shared" si="6"/>
        <v>861.39</v>
      </c>
      <c r="T35" s="135"/>
    </row>
    <row r="36" spans="2:20">
      <c r="B36" s="16">
        <f t="shared" si="7"/>
        <v>19</v>
      </c>
      <c r="C36" s="9">
        <f t="shared" si="8"/>
        <v>45133</v>
      </c>
      <c r="D36" s="6">
        <f>IFERROR(IF(B36&lt;&gt;"",PPMT(Input!$E$18/12,B36,$C$6,Input!$E$17),"")," ")</f>
        <v>-847.74007548775148</v>
      </c>
      <c r="E36" s="6">
        <f>IFERROR(IPMT(Input!$E$18/12,B36,$C$6,Input!$E$17)," ")</f>
        <v>-13.65458897284187</v>
      </c>
      <c r="F36" s="6">
        <f t="shared" si="2"/>
        <v>-15727.269210672048</v>
      </c>
      <c r="G36" s="6">
        <f t="shared" si="3"/>
        <v>-639.22941407922474</v>
      </c>
      <c r="H36" s="6">
        <f t="shared" si="4"/>
        <v>-861.39466446059339</v>
      </c>
      <c r="I36" s="6">
        <f t="shared" si="5"/>
        <v>4272.7307893279476</v>
      </c>
      <c r="J36" s="6" t="str">
        <f>IF(B36&lt;&gt;"",IF(AND(Input!$H$17="Annual",MOD(B36,12)=0),Input!$J$17,IF(AND(Input!$H$17="1st Installment",B36=1),Input!$J$17,IF(Input!$H$17="Monthly",Input!$J$17,""))),"")</f>
        <v/>
      </c>
      <c r="K36" s="6" t="str">
        <f>IF(B36&lt;&gt;"",IF(AND(Input!$H$18="Annual",MOD(B36,12)=0),Input!$J$18,IF(AND(Input!$H$18="1st Installment",B36=1),Input!$J$18,IF(Input!$H$18="Monthly",Input!$J$18,""))),"")</f>
        <v/>
      </c>
      <c r="L36" s="6" t="str">
        <f>IF(B36&lt;&gt;"",IF(AND(Input!$H$19="Annual",MOD(B36,12)=0),Input!$J$19,IF(AND(Input!$H$19="1st Installment",B36=1),Input!$J$19,IF(Input!$H$19="Monthly",Input!$J$19,IF(AND(Input!$H$19="End of the loan",B36=Input!$E$22),Input!$J$19,"")))),"")</f>
        <v/>
      </c>
      <c r="M36" s="6">
        <f t="shared" si="0"/>
        <v>0</v>
      </c>
      <c r="N36" s="4">
        <f t="shared" si="1"/>
        <v>861.39466446059339</v>
      </c>
      <c r="R36" s="9">
        <f>IF(EDATE(Input!$E$25,Input!$E$22-1)&lt;=R35,"",EDATE(R35,1))</f>
        <v>45133</v>
      </c>
      <c r="S36" s="5">
        <f t="shared" si="6"/>
        <v>861.39</v>
      </c>
      <c r="T36" s="135"/>
    </row>
    <row r="37" spans="2:20">
      <c r="B37" s="16">
        <f t="shared" si="7"/>
        <v>20</v>
      </c>
      <c r="C37" s="9">
        <f t="shared" si="8"/>
        <v>45164</v>
      </c>
      <c r="D37" s="6">
        <f>IFERROR(IF(B37&lt;&gt;"",PPMT(Input!$E$18/12,B37,$C$6,Input!$E$17),"")," ")</f>
        <v>-850.00071568905219</v>
      </c>
      <c r="E37" s="6">
        <f>IFERROR(IPMT(Input!$E$18/12,B37,$C$6,Input!$E$17)," ")</f>
        <v>-11.393948771541199</v>
      </c>
      <c r="F37" s="6">
        <f t="shared" si="2"/>
        <v>-16577.269926361099</v>
      </c>
      <c r="G37" s="6">
        <f t="shared" si="3"/>
        <v>-650.62336285076594</v>
      </c>
      <c r="H37" s="6">
        <f t="shared" si="4"/>
        <v>-861.39466446059339</v>
      </c>
      <c r="I37" s="6">
        <f t="shared" si="5"/>
        <v>3422.7300736388952</v>
      </c>
      <c r="J37" s="6" t="str">
        <f>IF(B37&lt;&gt;"",IF(AND(Input!$H$17="Annual",MOD(B37,12)=0),Input!$J$17,IF(AND(Input!$H$17="1st Installment",B37=1),Input!$J$17,IF(Input!$H$17="Monthly",Input!$J$17,""))),"")</f>
        <v/>
      </c>
      <c r="K37" s="6" t="str">
        <f>IF(B37&lt;&gt;"",IF(AND(Input!$H$18="Annual",MOD(B37,12)=0),Input!$J$18,IF(AND(Input!$H$18="1st Installment",B37=1),Input!$J$18,IF(Input!$H$18="Monthly",Input!$J$18,""))),"")</f>
        <v/>
      </c>
      <c r="L37" s="6" t="str">
        <f>IF(B37&lt;&gt;"",IF(AND(Input!$H$19="Annual",MOD(B37,12)=0),Input!$J$19,IF(AND(Input!$H$19="1st Installment",B37=1),Input!$J$19,IF(Input!$H$19="Monthly",Input!$J$19,IF(AND(Input!$H$19="End of the loan",B37=Input!$E$22),Input!$J$19,"")))),"")</f>
        <v/>
      </c>
      <c r="M37" s="6">
        <f t="shared" si="0"/>
        <v>0</v>
      </c>
      <c r="N37" s="4">
        <f t="shared" si="1"/>
        <v>861.39466446059339</v>
      </c>
      <c r="R37" s="9">
        <f>IF(EDATE(Input!$E$25,Input!$E$22-1)&lt;=R36,"",EDATE(R36,1))</f>
        <v>45164</v>
      </c>
      <c r="S37" s="5">
        <f t="shared" si="6"/>
        <v>861.39</v>
      </c>
      <c r="T37" s="135"/>
    </row>
    <row r="38" spans="2:20">
      <c r="B38" s="16">
        <f t="shared" si="7"/>
        <v>21</v>
      </c>
      <c r="C38" s="9">
        <f t="shared" si="8"/>
        <v>45195</v>
      </c>
      <c r="D38" s="6">
        <f>IFERROR(IF(B38&lt;&gt;"",PPMT(Input!$E$18/12,B38,$C$6,Input!$E$17),"")," ")</f>
        <v>-852.26738426422298</v>
      </c>
      <c r="E38" s="6">
        <f>IFERROR(IPMT(Input!$E$18/12,B38,$C$6,Input!$E$17)," ")</f>
        <v>-9.1272801963703927</v>
      </c>
      <c r="F38" s="6">
        <f t="shared" si="2"/>
        <v>-17429.537310625321</v>
      </c>
      <c r="G38" s="6">
        <f t="shared" si="3"/>
        <v>-659.75064304713635</v>
      </c>
      <c r="H38" s="6">
        <f t="shared" si="4"/>
        <v>-861.39466446059339</v>
      </c>
      <c r="I38" s="6">
        <f t="shared" si="5"/>
        <v>2570.4626893746722</v>
      </c>
      <c r="J38" s="6" t="str">
        <f>IF(B38&lt;&gt;"",IF(AND(Input!$H$17="Annual",MOD(B38,12)=0),Input!$J$17,IF(AND(Input!$H$17="1st Installment",B38=1),Input!$J$17,IF(Input!$H$17="Monthly",Input!$J$17,""))),"")</f>
        <v/>
      </c>
      <c r="K38" s="6" t="str">
        <f>IF(B38&lt;&gt;"",IF(AND(Input!$H$18="Annual",MOD(B38,12)=0),Input!$J$18,IF(AND(Input!$H$18="1st Installment",B38=1),Input!$J$18,IF(Input!$H$18="Monthly",Input!$J$18,""))),"")</f>
        <v/>
      </c>
      <c r="L38" s="6" t="str">
        <f>IF(B38&lt;&gt;"",IF(AND(Input!$H$19="Annual",MOD(B38,12)=0),Input!$J$19,IF(AND(Input!$H$19="1st Installment",B38=1),Input!$J$19,IF(Input!$H$19="Monthly",Input!$J$19,IF(AND(Input!$H$19="End of the loan",B38=Input!$E$22),Input!$J$19,"")))),"")</f>
        <v/>
      </c>
      <c r="M38" s="6">
        <f t="shared" si="0"/>
        <v>0</v>
      </c>
      <c r="N38" s="4">
        <f t="shared" si="1"/>
        <v>861.39466446059339</v>
      </c>
      <c r="R38" s="9">
        <f>IF(EDATE(Input!$E$25,Input!$E$22-1)&lt;=R37,"",EDATE(R37,1))</f>
        <v>45195</v>
      </c>
      <c r="S38" s="5">
        <f t="shared" si="6"/>
        <v>861.39</v>
      </c>
      <c r="T38" s="135"/>
    </row>
    <row r="39" spans="2:20">
      <c r="B39" s="16">
        <f t="shared" si="7"/>
        <v>22</v>
      </c>
      <c r="C39" s="9">
        <f t="shared" si="8"/>
        <v>45225</v>
      </c>
      <c r="D39" s="6">
        <f>IFERROR(IF(B39&lt;&gt;"",PPMT(Input!$E$18/12,B39,$C$6,Input!$E$17),"")," ")</f>
        <v>-854.54009728892754</v>
      </c>
      <c r="E39" s="6">
        <f>IFERROR(IPMT(Input!$E$18/12,B39,$C$6,Input!$E$17)," ")</f>
        <v>-6.8545671716657992</v>
      </c>
      <c r="F39" s="6">
        <f t="shared" si="2"/>
        <v>-18284.07740791425</v>
      </c>
      <c r="G39" s="6">
        <f t="shared" si="3"/>
        <v>-666.6052102188022</v>
      </c>
      <c r="H39" s="6">
        <f t="shared" si="4"/>
        <v>-861.39466446059339</v>
      </c>
      <c r="I39" s="6">
        <f t="shared" si="5"/>
        <v>1715.9225920857448</v>
      </c>
      <c r="J39" s="6" t="str">
        <f>IF(B39&lt;&gt;"",IF(AND(Input!$H$17="Annual",MOD(B39,12)=0),Input!$J$17,IF(AND(Input!$H$17="1st Installment",B39=1),Input!$J$17,IF(Input!$H$17="Monthly",Input!$J$17,""))),"")</f>
        <v/>
      </c>
      <c r="K39" s="6" t="str">
        <f>IF(B39&lt;&gt;"",IF(AND(Input!$H$18="Annual",MOD(B39,12)=0),Input!$J$18,IF(AND(Input!$H$18="1st Installment",B39=1),Input!$J$18,IF(Input!$H$18="Monthly",Input!$J$18,""))),"")</f>
        <v/>
      </c>
      <c r="L39" s="6" t="str">
        <f>IF(B39&lt;&gt;"",IF(AND(Input!$H$19="Annual",MOD(B39,12)=0),Input!$J$19,IF(AND(Input!$H$19="1st Installment",B39=1),Input!$J$19,IF(Input!$H$19="Monthly",Input!$J$19,IF(AND(Input!$H$19="End of the loan",B39=Input!$E$22),Input!$J$19,"")))),"")</f>
        <v/>
      </c>
      <c r="M39" s="6">
        <f t="shared" si="0"/>
        <v>0</v>
      </c>
      <c r="N39" s="4">
        <f t="shared" si="1"/>
        <v>861.39466446059339</v>
      </c>
      <c r="R39" s="9">
        <f>IF(EDATE(Input!$E$25,Input!$E$22-1)&lt;=R38,"",EDATE(R38,1))</f>
        <v>45225</v>
      </c>
      <c r="S39" s="5">
        <f t="shared" si="6"/>
        <v>861.39</v>
      </c>
      <c r="T39" s="135"/>
    </row>
    <row r="40" spans="2:20">
      <c r="B40" s="16">
        <f t="shared" si="7"/>
        <v>23</v>
      </c>
      <c r="C40" s="9">
        <f t="shared" si="8"/>
        <v>45256</v>
      </c>
      <c r="D40" s="6">
        <f>IFERROR(IF(B40&lt;&gt;"",PPMT(Input!$E$18/12,B40,$C$6,Input!$E$17),"")," ")</f>
        <v>-856.8188708816981</v>
      </c>
      <c r="E40" s="6">
        <f>IFERROR(IPMT(Input!$E$18/12,B40,$C$6,Input!$E$17)," ")</f>
        <v>-4.5757935788953246</v>
      </c>
      <c r="F40" s="6">
        <f t="shared" si="2"/>
        <v>-19140.89627879595</v>
      </c>
      <c r="G40" s="6">
        <f t="shared" si="3"/>
        <v>-671.18100379769749</v>
      </c>
      <c r="H40" s="6">
        <f t="shared" si="4"/>
        <v>-861.39466446059339</v>
      </c>
      <c r="I40" s="6">
        <f t="shared" si="5"/>
        <v>859.10372120404668</v>
      </c>
      <c r="J40" s="6" t="str">
        <f>IF(B40&lt;&gt;"",IF(AND(Input!$H$17="Annual",MOD(B40,12)=0),Input!$J$17,IF(AND(Input!$H$17="1st Installment",B40=1),Input!$J$17,IF(Input!$H$17="Monthly",Input!$J$17,""))),"")</f>
        <v/>
      </c>
      <c r="K40" s="6" t="str">
        <f>IF(B40&lt;&gt;"",IF(AND(Input!$H$18="Annual",MOD(B40,12)=0),Input!$J$18,IF(AND(Input!$H$18="1st Installment",B40=1),Input!$J$18,IF(Input!$H$18="Monthly",Input!$J$18,""))),"")</f>
        <v/>
      </c>
      <c r="L40" s="6" t="str">
        <f>IF(B40&lt;&gt;"",IF(AND(Input!$H$19="Annual",MOD(B40,12)=0),Input!$J$19,IF(AND(Input!$H$19="1st Installment",B40=1),Input!$J$19,IF(Input!$H$19="Monthly",Input!$J$19,IF(AND(Input!$H$19="End of the loan",B40=Input!$E$22),Input!$J$19,"")))),"")</f>
        <v/>
      </c>
      <c r="M40" s="6">
        <f t="shared" si="0"/>
        <v>0</v>
      </c>
      <c r="N40" s="4">
        <f t="shared" si="1"/>
        <v>861.39466446059339</v>
      </c>
      <c r="R40" s="9">
        <f>IF(EDATE(Input!$E$25,Input!$E$22-1)&lt;=R39,"",EDATE(R39,1))</f>
        <v>45256</v>
      </c>
      <c r="S40" s="5">
        <f t="shared" si="6"/>
        <v>861.39</v>
      </c>
      <c r="T40" s="135"/>
    </row>
    <row r="41" spans="2:20">
      <c r="B41" s="16">
        <f t="shared" si="7"/>
        <v>24</v>
      </c>
      <c r="C41" s="9">
        <f t="shared" si="8"/>
        <v>45286</v>
      </c>
      <c r="D41" s="6">
        <f>IFERROR(IF(B41&lt;&gt;"",PPMT(Input!$E$18/12,B41,$C$6,Input!$E$17),"")," ")</f>
        <v>-859.10372120404918</v>
      </c>
      <c r="E41" s="6">
        <f>IFERROR(IPMT(Input!$E$18/12,B41,$C$6,Input!$E$17)," ")</f>
        <v>-2.2909432565441312</v>
      </c>
      <c r="F41" s="6">
        <f t="shared" si="2"/>
        <v>-20000</v>
      </c>
      <c r="G41" s="6">
        <f t="shared" si="3"/>
        <v>-673.47194705424158</v>
      </c>
      <c r="H41" s="6">
        <f t="shared" si="4"/>
        <v>-861.39466446059328</v>
      </c>
      <c r="I41" s="6">
        <f t="shared" si="5"/>
        <v>-2.5011104298755527E-12</v>
      </c>
      <c r="J41" s="6" t="str">
        <f>IF(B41&lt;&gt;"",IF(AND(Input!$H$17="Annual",MOD(B41,12)=0),Input!$J$17,IF(AND(Input!$H$17="1st Installment",B41=1),Input!$J$17,IF(Input!$H$17="Monthly",Input!$J$17,""))),"")</f>
        <v/>
      </c>
      <c r="K41" s="6">
        <f>IF(B41&lt;&gt;"",IF(AND(Input!$H$18="Annual",MOD(B41,12)=0),Input!$J$18,IF(AND(Input!$H$18="1st Installment",B41=1),Input!$J$18,IF(Input!$H$18="Monthly",Input!$J$18,""))),"")</f>
        <v>0</v>
      </c>
      <c r="L41" s="6" t="str">
        <f>IF(B41&lt;&gt;"",IF(AND(Input!$H$19="Annual",MOD(B41,12)=0),Input!$J$19,IF(AND(Input!$H$19="1st Installment",B41=1),Input!$J$19,IF(Input!$H$19="Monthly",Input!$J$19,IF(AND(Input!$H$19="End of the loan",B41=Input!$E$22),Input!$J$19,"")))),"")</f>
        <v/>
      </c>
      <c r="M41" s="6">
        <f t="shared" si="0"/>
        <v>0</v>
      </c>
      <c r="N41" s="4">
        <f t="shared" si="1"/>
        <v>861.39466446059328</v>
      </c>
      <c r="R41" s="9">
        <f>IF(EDATE(Input!$E$25,Input!$E$22-1)&lt;=R40,"",EDATE(R40,1))</f>
        <v>45286</v>
      </c>
      <c r="S41" s="5">
        <f t="shared" si="6"/>
        <v>861.39</v>
      </c>
      <c r="T41" s="135"/>
    </row>
    <row r="42" spans="2:20">
      <c r="B42" s="16" t="str">
        <f t="shared" si="7"/>
        <v/>
      </c>
      <c r="C42" s="9" t="str">
        <f t="shared" si="8"/>
        <v/>
      </c>
      <c r="D42" s="6" t="str">
        <f>IFERROR(IF(B42&lt;&gt;"",PPMT(Input!$E$18/12,B42,$C$6,Input!$E$17),"")," ")</f>
        <v/>
      </c>
      <c r="E42" s="6" t="str">
        <f>IFERROR(IPMT(Input!$E$18/12,B42,$C$6,Input!$E$17)," ")</f>
        <v xml:space="preserve"> </v>
      </c>
      <c r="F42" s="6" t="str">
        <f t="shared" si="2"/>
        <v/>
      </c>
      <c r="G42" s="6" t="str">
        <f t="shared" si="3"/>
        <v/>
      </c>
      <c r="H42" s="6" t="str">
        <f t="shared" si="4"/>
        <v xml:space="preserve"> </v>
      </c>
      <c r="I42" s="6" t="str">
        <f t="shared" si="5"/>
        <v/>
      </c>
      <c r="J42" s="6" t="str">
        <f>IF(B42&lt;&gt;"",IF(AND(Input!$H$17="Annual",MOD(B42,12)=0),Input!$J$17,IF(AND(Input!$H$17="1st Installment",B42=1),Input!$J$17,IF(Input!$H$17="Monthly",Input!$J$17,""))),"")</f>
        <v/>
      </c>
      <c r="K42" s="6" t="str">
        <f>IF(B42&lt;&gt;"",IF(AND(Input!$H$18="Annual",MOD(B42,12)=0),Input!$J$18,IF(AND(Input!$H$18="1st Installment",B42=1),Input!$J$18,IF(Input!$H$18="Monthly",Input!$J$18,""))),"")</f>
        <v/>
      </c>
      <c r="L42" s="6" t="str">
        <f>IF(B42&lt;&gt;"",IF(AND(Input!$H$19="Annual",MOD(B42,12)=0),Input!$J$19,IF(AND(Input!$H$19="1st Installment",B42=1),Input!$J$19,IF(Input!$H$19="Monthly",Input!$J$19,IF(AND(Input!$H$19="End of the loan",B42=Input!$E$22),Input!$J$19,"")))),"")</f>
        <v/>
      </c>
      <c r="M42" s="6" t="str">
        <f t="shared" si="0"/>
        <v/>
      </c>
      <c r="N42" s="4" t="str">
        <f t="shared" si="1"/>
        <v/>
      </c>
      <c r="R42" s="9" t="str">
        <f>IF(EDATE(Input!$E$25,Input!$E$22-1)&lt;=R41,"",EDATE(R41,1))</f>
        <v/>
      </c>
      <c r="S42" s="5" t="str">
        <f t="shared" si="6"/>
        <v xml:space="preserve"> </v>
      </c>
    </row>
    <row r="43" spans="2:20">
      <c r="B43" s="16" t="str">
        <f t="shared" si="7"/>
        <v/>
      </c>
      <c r="C43" s="9" t="str">
        <f t="shared" si="8"/>
        <v/>
      </c>
      <c r="D43" s="6" t="str">
        <f>IFERROR(IF(B43&lt;&gt;"",PPMT(Input!$E$18/12,B43,$C$6,Input!$E$17),"")," ")</f>
        <v/>
      </c>
      <c r="E43" s="6" t="str">
        <f>IFERROR(IPMT(Input!$E$18/12,B43,$C$6,Input!$E$17)," ")</f>
        <v xml:space="preserve"> </v>
      </c>
      <c r="F43" s="6" t="str">
        <f t="shared" si="2"/>
        <v/>
      </c>
      <c r="G43" s="6" t="str">
        <f t="shared" si="3"/>
        <v/>
      </c>
      <c r="H43" s="6" t="str">
        <f t="shared" si="4"/>
        <v xml:space="preserve"> </v>
      </c>
      <c r="I43" s="6" t="str">
        <f t="shared" si="5"/>
        <v/>
      </c>
      <c r="J43" s="6" t="str">
        <f>IF(B43&lt;&gt;"",IF(AND(Input!$H$17="Annual",MOD(B43,12)=0),Input!$J$17,IF(AND(Input!$H$17="1st Installment",B43=1),Input!$J$17,IF(Input!$H$17="Monthly",Input!$J$17,""))),"")</f>
        <v/>
      </c>
      <c r="K43" s="6" t="str">
        <f>IF(B43&lt;&gt;"",IF(AND(Input!$H$18="Annual",MOD(B43,12)=0),Input!$J$18,IF(AND(Input!$H$18="1st Installment",B43=1),Input!$J$18,IF(Input!$H$18="Monthly",Input!$J$18,""))),"")</f>
        <v/>
      </c>
      <c r="L43" s="6" t="str">
        <f>IF(B43&lt;&gt;"",IF(AND(Input!$H$19="Annual",MOD(B43,12)=0),Input!$J$19,IF(AND(Input!$H$19="1st Installment",B43=1),Input!$J$19,IF(Input!$H$19="Monthly",Input!$J$19,IF(AND(Input!$H$19="End of the loan",B43=Input!$E$22),Input!$J$19,"")))),"")</f>
        <v/>
      </c>
      <c r="M43" s="6" t="str">
        <f t="shared" si="0"/>
        <v/>
      </c>
      <c r="N43" s="4" t="str">
        <f t="shared" si="1"/>
        <v/>
      </c>
      <c r="R43" s="9" t="str">
        <f>IF(EDATE(Input!$E$25,Input!$E$22-1)&lt;=R42,"",EDATE(R42,1))</f>
        <v/>
      </c>
      <c r="S43" s="5" t="str">
        <f t="shared" si="6"/>
        <v xml:space="preserve"> </v>
      </c>
    </row>
    <row r="44" spans="2:20">
      <c r="B44" s="16" t="str">
        <f t="shared" si="7"/>
        <v/>
      </c>
      <c r="C44" s="9" t="str">
        <f t="shared" si="8"/>
        <v/>
      </c>
      <c r="D44" s="6" t="str">
        <f>IFERROR(IF(B44&lt;&gt;"",PPMT(Input!$E$18/12,B44,$C$6,Input!$E$17),"")," ")</f>
        <v/>
      </c>
      <c r="E44" s="6" t="str">
        <f>IFERROR(IPMT(Input!$E$18/12,B44,$C$6,Input!$E$17)," ")</f>
        <v xml:space="preserve"> </v>
      </c>
      <c r="F44" s="6" t="str">
        <f t="shared" si="2"/>
        <v/>
      </c>
      <c r="G44" s="6" t="str">
        <f t="shared" si="3"/>
        <v/>
      </c>
      <c r="H44" s="6" t="str">
        <f t="shared" si="4"/>
        <v xml:space="preserve"> </v>
      </c>
      <c r="I44" s="6" t="str">
        <f t="shared" si="5"/>
        <v/>
      </c>
      <c r="J44" s="6" t="str">
        <f>IF(B44&lt;&gt;"",IF(AND(Input!$H$17="Annual",MOD(B44,12)=0),Input!$J$17,IF(AND(Input!$H$17="1st Installment",B44=1),Input!$J$17,IF(Input!$H$17="Monthly",Input!$J$17,""))),"")</f>
        <v/>
      </c>
      <c r="K44" s="6" t="str">
        <f>IF(B44&lt;&gt;"",IF(AND(Input!$H$18="Annual",MOD(B44,12)=0),Input!$J$18,IF(AND(Input!$H$18="1st Installment",B44=1),Input!$J$18,IF(Input!$H$18="Monthly",Input!$J$18,""))),"")</f>
        <v/>
      </c>
      <c r="L44" s="6" t="str">
        <f>IF(B44&lt;&gt;"",IF(AND(Input!$H$19="Annual",MOD(B44,12)=0),Input!$J$19,IF(AND(Input!$H$19="1st Installment",B44=1),Input!$J$19,IF(Input!$H$19="Monthly",Input!$J$19,IF(AND(Input!$H$19="End of the loan",B44=Input!$E$22),Input!$J$19,"")))),"")</f>
        <v/>
      </c>
      <c r="M44" s="6" t="str">
        <f t="shared" si="0"/>
        <v/>
      </c>
      <c r="N44" s="4" t="str">
        <f t="shared" si="1"/>
        <v/>
      </c>
      <c r="Q44" s="72"/>
      <c r="R44" s="9" t="str">
        <f>IF(EDATE(Input!$E$25,Input!$E$22-1)&lt;=R43,"",EDATE(R43,1))</f>
        <v/>
      </c>
      <c r="S44" s="5" t="str">
        <f t="shared" si="6"/>
        <v xml:space="preserve"> </v>
      </c>
    </row>
    <row r="45" spans="2:20">
      <c r="B45" s="16" t="str">
        <f t="shared" si="7"/>
        <v/>
      </c>
      <c r="C45" s="9" t="str">
        <f t="shared" si="8"/>
        <v/>
      </c>
      <c r="D45" s="6" t="str">
        <f>IFERROR(IF(B45&lt;&gt;"",PPMT(Input!$E$18/12,B45,$C$6,Input!$E$17),"")," ")</f>
        <v/>
      </c>
      <c r="E45" s="6" t="str">
        <f>IFERROR(IPMT(Input!$E$18/12,B45,$C$6,Input!$E$17)," ")</f>
        <v xml:space="preserve"> </v>
      </c>
      <c r="F45" s="6" t="str">
        <f t="shared" si="2"/>
        <v/>
      </c>
      <c r="G45" s="6" t="str">
        <f t="shared" si="3"/>
        <v/>
      </c>
      <c r="H45" s="6" t="str">
        <f t="shared" si="4"/>
        <v xml:space="preserve"> </v>
      </c>
      <c r="I45" s="6" t="str">
        <f t="shared" si="5"/>
        <v/>
      </c>
      <c r="J45" s="6" t="str">
        <f>IF(B45&lt;&gt;"",IF(AND(Input!$H$17="Annual",MOD(B45,12)=0),Input!$J$17,IF(AND(Input!$H$17="1st Installment",B45=1),Input!$J$17,IF(Input!$H$17="Monthly",Input!$J$17,""))),"")</f>
        <v/>
      </c>
      <c r="K45" s="6" t="str">
        <f>IF(B45&lt;&gt;"",IF(AND(Input!$H$18="Annual",MOD(B45,12)=0),Input!$J$18,IF(AND(Input!$H$18="1st Installment",B45=1),Input!$J$18,IF(Input!$H$18="Monthly",Input!$J$18,""))),"")</f>
        <v/>
      </c>
      <c r="L45" s="6" t="str">
        <f>IF(B45&lt;&gt;"",IF(AND(Input!$H$19="Annual",MOD(B45,12)=0),Input!$J$19,IF(AND(Input!$H$19="1st Installment",B45=1),Input!$J$19,IF(Input!$H$19="Monthly",Input!$J$19,IF(AND(Input!$H$19="End of the loan",B45=Input!$E$22),Input!$J$19,"")))),"")</f>
        <v/>
      </c>
      <c r="M45" s="6" t="str">
        <f t="shared" si="0"/>
        <v/>
      </c>
      <c r="N45" s="4" t="str">
        <f t="shared" si="1"/>
        <v/>
      </c>
      <c r="R45" s="9" t="str">
        <f>IF(EDATE(Input!$E$25,Input!$E$22-1)&lt;=R44,"",EDATE(R44,1))</f>
        <v/>
      </c>
      <c r="S45" s="5" t="str">
        <f t="shared" si="6"/>
        <v xml:space="preserve"> </v>
      </c>
    </row>
    <row r="46" spans="2:20">
      <c r="B46" s="16" t="str">
        <f t="shared" si="7"/>
        <v/>
      </c>
      <c r="C46" s="9" t="str">
        <f t="shared" si="8"/>
        <v/>
      </c>
      <c r="D46" s="6" t="str">
        <f>IFERROR(IF(B46&lt;&gt;"",PPMT(Input!$E$18/12,B46,$C$6,Input!$E$17),"")," ")</f>
        <v/>
      </c>
      <c r="E46" s="6" t="str">
        <f>IFERROR(IPMT(Input!$E$18/12,B46,$C$6,Input!$E$17)," ")</f>
        <v xml:space="preserve"> </v>
      </c>
      <c r="F46" s="6" t="str">
        <f t="shared" si="2"/>
        <v/>
      </c>
      <c r="G46" s="6" t="str">
        <f t="shared" si="3"/>
        <v/>
      </c>
      <c r="H46" s="6" t="str">
        <f t="shared" si="4"/>
        <v xml:space="preserve"> </v>
      </c>
      <c r="I46" s="6" t="str">
        <f t="shared" si="5"/>
        <v/>
      </c>
      <c r="J46" s="6" t="str">
        <f>IF(B46&lt;&gt;"",IF(AND(Input!$H$17="Annual",MOD(B46,12)=0),Input!$J$17,IF(AND(Input!$H$17="1st Installment",B46=1),Input!$J$17,IF(Input!$H$17="Monthly",Input!$J$17,""))),"")</f>
        <v/>
      </c>
      <c r="K46" s="6" t="str">
        <f>IF(B46&lt;&gt;"",IF(AND(Input!$H$18="Annual",MOD(B46,12)=0),Input!$J$18,IF(AND(Input!$H$18="1st Installment",B46=1),Input!$J$18,IF(Input!$H$18="Monthly",Input!$J$18,""))),"")</f>
        <v/>
      </c>
      <c r="L46" s="6" t="str">
        <f>IF(B46&lt;&gt;"",IF(AND(Input!$H$19="Annual",MOD(B46,12)=0),Input!$J$19,IF(AND(Input!$H$19="1st Installment",B46=1),Input!$J$19,IF(Input!$H$19="Monthly",Input!$J$19,IF(AND(Input!$H$19="End of the loan",B46=Input!$E$22),Input!$J$19,"")))),"")</f>
        <v/>
      </c>
      <c r="M46" s="6" t="str">
        <f t="shared" si="0"/>
        <v/>
      </c>
      <c r="N46" s="4" t="str">
        <f t="shared" si="1"/>
        <v/>
      </c>
      <c r="R46" s="9" t="str">
        <f>IF(EDATE(Input!$E$25,Input!$E$22-1)&lt;=R45,"",EDATE(R45,1))</f>
        <v/>
      </c>
      <c r="S46" s="5" t="str">
        <f t="shared" si="6"/>
        <v xml:space="preserve"> </v>
      </c>
    </row>
    <row r="47" spans="2:20">
      <c r="B47" s="16" t="str">
        <f t="shared" si="7"/>
        <v/>
      </c>
      <c r="C47" s="9" t="str">
        <f t="shared" si="8"/>
        <v/>
      </c>
      <c r="D47" s="6" t="str">
        <f>IFERROR(IF(B47&lt;&gt;"",PPMT(Input!$E$18/12,B47,$C$6,Input!$E$17),"")," ")</f>
        <v/>
      </c>
      <c r="E47" s="6" t="str">
        <f>IFERROR(IPMT(Input!$E$18/12,B47,$C$6,Input!$E$17)," ")</f>
        <v xml:space="preserve"> </v>
      </c>
      <c r="F47" s="6" t="str">
        <f t="shared" si="2"/>
        <v/>
      </c>
      <c r="G47" s="6" t="str">
        <f t="shared" si="3"/>
        <v/>
      </c>
      <c r="H47" s="6" t="str">
        <f t="shared" si="4"/>
        <v xml:space="preserve"> </v>
      </c>
      <c r="I47" s="6" t="str">
        <f t="shared" si="5"/>
        <v/>
      </c>
      <c r="J47" s="6" t="str">
        <f>IF(B47&lt;&gt;"",IF(AND(Input!$H$17="Annual",MOD(B47,12)=0),Input!$J$17,IF(AND(Input!$H$17="1st Installment",B47=1),Input!$J$17,IF(Input!$H$17="Monthly",Input!$J$17,""))),"")</f>
        <v/>
      </c>
      <c r="K47" s="6" t="str">
        <f>IF(B47&lt;&gt;"",IF(AND(Input!$H$18="Annual",MOD(B47,12)=0),Input!$J$18,IF(AND(Input!$H$18="1st Installment",B47=1),Input!$J$18,IF(Input!$H$18="Monthly",Input!$J$18,""))),"")</f>
        <v/>
      </c>
      <c r="L47" s="6" t="str">
        <f>IF(B47&lt;&gt;"",IF(AND(Input!$H$19="Annual",MOD(B47,12)=0),Input!$J$19,IF(AND(Input!$H$19="1st Installment",B47=1),Input!$J$19,IF(Input!$H$19="Monthly",Input!$J$19,IF(AND(Input!$H$19="End of the loan",B47=Input!$E$22),Input!$J$19,"")))),"")</f>
        <v/>
      </c>
      <c r="M47" s="6" t="str">
        <f t="shared" si="0"/>
        <v/>
      </c>
      <c r="N47" s="4" t="str">
        <f t="shared" si="1"/>
        <v/>
      </c>
      <c r="R47" s="9" t="str">
        <f>IF(EDATE(Input!$E$25,Input!$E$22-1)&lt;=R46,"",EDATE(R46,1))</f>
        <v/>
      </c>
      <c r="S47" s="5" t="str">
        <f t="shared" si="6"/>
        <v xml:space="preserve"> </v>
      </c>
    </row>
    <row r="48" spans="2:20">
      <c r="B48" s="16" t="str">
        <f t="shared" si="7"/>
        <v/>
      </c>
      <c r="C48" s="9" t="str">
        <f t="shared" si="8"/>
        <v/>
      </c>
      <c r="D48" s="6" t="str">
        <f>IFERROR(IF(B48&lt;&gt;"",PPMT(Input!$E$18/12,B48,$C$6,Input!$E$17),"")," ")</f>
        <v/>
      </c>
      <c r="E48" s="6" t="str">
        <f>IFERROR(IPMT(Input!$E$18/12,B48,$C$6,Input!$E$17)," ")</f>
        <v xml:space="preserve"> </v>
      </c>
      <c r="F48" s="6" t="str">
        <f t="shared" si="2"/>
        <v/>
      </c>
      <c r="G48" s="6" t="str">
        <f t="shared" si="3"/>
        <v/>
      </c>
      <c r="H48" s="6" t="str">
        <f t="shared" si="4"/>
        <v xml:space="preserve"> </v>
      </c>
      <c r="I48" s="6" t="str">
        <f t="shared" si="5"/>
        <v/>
      </c>
      <c r="J48" s="6" t="str">
        <f>IF(B48&lt;&gt;"",IF(AND(Input!$H$17="Annual",MOD(B48,12)=0),Input!$J$17,IF(AND(Input!$H$17="1st Installment",B48=1),Input!$J$17,IF(Input!$H$17="Monthly",Input!$J$17,""))),"")</f>
        <v/>
      </c>
      <c r="K48" s="6" t="str">
        <f>IF(B48&lt;&gt;"",IF(AND(Input!$H$18="Annual",MOD(B48,12)=0),Input!$J$18,IF(AND(Input!$H$18="1st Installment",B48=1),Input!$J$18,IF(Input!$H$18="Monthly",Input!$J$18,""))),"")</f>
        <v/>
      </c>
      <c r="L48" s="6" t="str">
        <f>IF(B48&lt;&gt;"",IF(AND(Input!$H$19="Annual",MOD(B48,12)=0),Input!$J$19,IF(AND(Input!$H$19="1st Installment",B48=1),Input!$J$19,IF(Input!$H$19="Monthly",Input!$J$19,IF(AND(Input!$H$19="End of the loan",B48=Input!$E$22),Input!$J$19,"")))),"")</f>
        <v/>
      </c>
      <c r="M48" s="6" t="str">
        <f t="shared" si="0"/>
        <v/>
      </c>
      <c r="N48" s="4" t="str">
        <f t="shared" si="1"/>
        <v/>
      </c>
      <c r="R48" s="9" t="str">
        <f>IF(EDATE(Input!$E$25,Input!$E$22-1)&lt;=R47,"",EDATE(R47,1))</f>
        <v/>
      </c>
      <c r="S48" s="5" t="str">
        <f t="shared" si="6"/>
        <v xml:space="preserve"> </v>
      </c>
    </row>
    <row r="49" spans="2:19">
      <c r="B49" s="16" t="str">
        <f t="shared" si="7"/>
        <v/>
      </c>
      <c r="C49" s="9" t="str">
        <f t="shared" si="8"/>
        <v/>
      </c>
      <c r="D49" s="6" t="str">
        <f>IFERROR(IF(B49&lt;&gt;"",PPMT(Input!$E$18/12,B49,$C$6,Input!$E$17),"")," ")</f>
        <v/>
      </c>
      <c r="E49" s="6" t="str">
        <f>IFERROR(IPMT(Input!$E$18/12,B49,$C$6,Input!$E$17)," ")</f>
        <v xml:space="preserve"> </v>
      </c>
      <c r="F49" s="6" t="str">
        <f t="shared" si="2"/>
        <v/>
      </c>
      <c r="G49" s="6" t="str">
        <f t="shared" si="3"/>
        <v/>
      </c>
      <c r="H49" s="6" t="str">
        <f t="shared" si="4"/>
        <v xml:space="preserve"> </v>
      </c>
      <c r="I49" s="6" t="str">
        <f t="shared" si="5"/>
        <v/>
      </c>
      <c r="J49" s="6" t="str">
        <f>IF(B49&lt;&gt;"",IF(AND(Input!$H$17="Annual",MOD(B49,12)=0),Input!$J$17,IF(AND(Input!$H$17="1st Installment",B49=1),Input!$J$17,IF(Input!$H$17="Monthly",Input!$J$17,""))),"")</f>
        <v/>
      </c>
      <c r="K49" s="6" t="str">
        <f>IF(B49&lt;&gt;"",IF(AND(Input!$H$18="Annual",MOD(B49,12)=0),Input!$J$18,IF(AND(Input!$H$18="1st Installment",B49=1),Input!$J$18,IF(Input!$H$18="Monthly",Input!$J$18,""))),"")</f>
        <v/>
      </c>
      <c r="L49" s="6" t="str">
        <f>IF(B49&lt;&gt;"",IF(AND(Input!$H$19="Annual",MOD(B49,12)=0),Input!$J$19,IF(AND(Input!$H$19="1st Installment",B49=1),Input!$J$19,IF(Input!$H$19="Monthly",Input!$J$19,IF(AND(Input!$H$19="End of the loan",B49=Input!$E$22),Input!$J$19,"")))),"")</f>
        <v/>
      </c>
      <c r="M49" s="6" t="str">
        <f t="shared" ref="M49:M77" si="9">IF(B49&lt;&gt;"",SUM(J49:L49),"")</f>
        <v/>
      </c>
      <c r="N49" s="4" t="str">
        <f t="shared" ref="N49:N77" si="10">IF(B49&lt;&gt;"",(-H49+M49),"")</f>
        <v/>
      </c>
      <c r="R49" s="9" t="str">
        <f>IF(EDATE(Input!$E$25,Input!$E$22-1)&lt;=R48,"",EDATE(R48,1))</f>
        <v/>
      </c>
      <c r="S49" s="5" t="str">
        <f t="shared" si="6"/>
        <v xml:space="preserve"> </v>
      </c>
    </row>
    <row r="50" spans="2:19">
      <c r="B50" s="16" t="str">
        <f t="shared" si="7"/>
        <v/>
      </c>
      <c r="C50" s="9" t="str">
        <f t="shared" si="8"/>
        <v/>
      </c>
      <c r="D50" s="6" t="str">
        <f>IFERROR(IF(B50&lt;&gt;"",PPMT(Input!$E$18/12,B50,$C$6,Input!$E$17),"")," ")</f>
        <v/>
      </c>
      <c r="E50" s="6" t="str">
        <f>IFERROR(IPMT(Input!$E$18/12,B50,$C$6,Input!$E$17)," ")</f>
        <v xml:space="preserve"> </v>
      </c>
      <c r="F50" s="6" t="str">
        <f t="shared" si="2"/>
        <v/>
      </c>
      <c r="G50" s="6" t="str">
        <f t="shared" si="3"/>
        <v/>
      </c>
      <c r="H50" s="6" t="str">
        <f t="shared" si="4"/>
        <v xml:space="preserve"> </v>
      </c>
      <c r="I50" s="6" t="str">
        <f t="shared" si="5"/>
        <v/>
      </c>
      <c r="J50" s="6" t="str">
        <f>IF(B50&lt;&gt;"",IF(AND(Input!$H$17="Annual",MOD(B50,12)=0),Input!$J$17,IF(AND(Input!$H$17="1st Installment",B50=1),Input!$J$17,IF(Input!$H$17="Monthly",Input!$J$17,""))),"")</f>
        <v/>
      </c>
      <c r="K50" s="6" t="str">
        <f>IF(B50&lt;&gt;"",IF(AND(Input!$H$18="Annual",MOD(B50,12)=0),Input!$J$18,IF(AND(Input!$H$18="1st Installment",B50=1),Input!$J$18,IF(Input!$H$18="Monthly",Input!$J$18,""))),"")</f>
        <v/>
      </c>
      <c r="L50" s="6" t="str">
        <f>IF(B50&lt;&gt;"",IF(AND(Input!$H$19="Annual",MOD(B50,12)=0),Input!$J$19,IF(AND(Input!$H$19="1st Installment",B50=1),Input!$J$19,IF(Input!$H$19="Monthly",Input!$J$19,IF(AND(Input!$H$19="End of the loan",B50=Input!$E$22),Input!$J$19,"")))),"")</f>
        <v/>
      </c>
      <c r="M50" s="6" t="str">
        <f t="shared" si="9"/>
        <v/>
      </c>
      <c r="N50" s="4" t="str">
        <f t="shared" si="10"/>
        <v/>
      </c>
      <c r="R50" s="9" t="str">
        <f>IF(EDATE(Input!$E$25,Input!$E$22-1)&lt;=R49,"",EDATE(R49,1))</f>
        <v/>
      </c>
      <c r="S50" s="5" t="str">
        <f t="shared" si="6"/>
        <v xml:space="preserve"> </v>
      </c>
    </row>
    <row r="51" spans="2:19">
      <c r="B51" s="16" t="str">
        <f t="shared" si="7"/>
        <v/>
      </c>
      <c r="C51" s="9" t="str">
        <f t="shared" si="8"/>
        <v/>
      </c>
      <c r="D51" s="6" t="str">
        <f>IFERROR(IF(B51&lt;&gt;"",PPMT(Input!$E$18/12,B51,$C$6,Input!$E$17),"")," ")</f>
        <v/>
      </c>
      <c r="E51" s="6" t="str">
        <f>IFERROR(IPMT(Input!$E$18/12,B51,$C$6,Input!$E$17)," ")</f>
        <v xml:space="preserve"> </v>
      </c>
      <c r="F51" s="6" t="str">
        <f t="shared" ref="F51:F77" si="11">IF(B51&lt;&gt;"",F50+D51,"")</f>
        <v/>
      </c>
      <c r="G51" s="6" t="str">
        <f t="shared" ref="G51:G77" si="12">IF(B51&lt;&gt;"",G50+E51,"")</f>
        <v/>
      </c>
      <c r="H51" s="6" t="str">
        <f t="shared" si="4"/>
        <v xml:space="preserve"> </v>
      </c>
      <c r="I51" s="6" t="str">
        <f t="shared" ref="I51:I77" si="13">IF(B51&lt;&gt;"",I50+D51,"")</f>
        <v/>
      </c>
      <c r="J51" s="6" t="str">
        <f>IF(B51&lt;&gt;"",IF(AND(Input!$H$17="Annual",MOD(B51,12)=0),Input!$J$17,IF(AND(Input!$H$17="1st Installment",B51=1),Input!$J$17,IF(Input!$H$17="Monthly",Input!$J$17,""))),"")</f>
        <v/>
      </c>
      <c r="K51" s="6" t="str">
        <f>IF(B51&lt;&gt;"",IF(AND(Input!$H$18="Annual",MOD(B51,12)=0),Input!$J$18,IF(AND(Input!$H$18="1st Installment",B51=1),Input!$J$18,IF(Input!$H$18="Monthly",Input!$J$18,""))),"")</f>
        <v/>
      </c>
      <c r="L51" s="6" t="str">
        <f>IF(B51&lt;&gt;"",IF(AND(Input!$H$19="Annual",MOD(B51,12)=0),Input!$J$19,IF(AND(Input!$H$19="1st Installment",B51=1),Input!$J$19,IF(Input!$H$19="Monthly",Input!$J$19,IF(AND(Input!$H$19="End of the loan",B51=Input!$E$22),Input!$J$19,"")))),"")</f>
        <v/>
      </c>
      <c r="M51" s="6" t="str">
        <f t="shared" si="9"/>
        <v/>
      </c>
      <c r="N51" s="4" t="str">
        <f t="shared" si="10"/>
        <v/>
      </c>
      <c r="R51" s="9" t="str">
        <f>IF(EDATE(Input!$E$25,Input!$E$22-1)&lt;=R50,"",EDATE(R50,1))</f>
        <v/>
      </c>
      <c r="S51" s="5" t="str">
        <f t="shared" si="6"/>
        <v xml:space="preserve"> </v>
      </c>
    </row>
    <row r="52" spans="2:19">
      <c r="B52" s="16" t="str">
        <f t="shared" si="7"/>
        <v/>
      </c>
      <c r="C52" s="9" t="str">
        <f t="shared" si="8"/>
        <v/>
      </c>
      <c r="D52" s="6" t="str">
        <f>IFERROR(IF(B52&lt;&gt;"",PPMT(Input!$E$18/12,B52,$C$6,Input!$E$17),"")," ")</f>
        <v/>
      </c>
      <c r="E52" s="6" t="str">
        <f>IFERROR(IPMT(Input!$E$18/12,B52,$C$6,Input!$E$17)," ")</f>
        <v xml:space="preserve"> </v>
      </c>
      <c r="F52" s="6" t="str">
        <f t="shared" si="11"/>
        <v/>
      </c>
      <c r="G52" s="6" t="str">
        <f t="shared" si="12"/>
        <v/>
      </c>
      <c r="H52" s="6" t="str">
        <f t="shared" si="4"/>
        <v xml:space="preserve"> </v>
      </c>
      <c r="I52" s="6" t="str">
        <f t="shared" si="13"/>
        <v/>
      </c>
      <c r="J52" s="6" t="str">
        <f>IF(B52&lt;&gt;"",IF(AND(Input!$H$17="Annual",MOD(B52,12)=0),Input!$J$17,IF(AND(Input!$H$17="1st Installment",B52=1),Input!$J$17,IF(Input!$H$17="Monthly",Input!$J$17,""))),"")</f>
        <v/>
      </c>
      <c r="K52" s="6" t="str">
        <f>IF(B52&lt;&gt;"",IF(AND(Input!$H$18="Annual",MOD(B52,12)=0),Input!$J$18,IF(AND(Input!$H$18="1st Installment",B52=1),Input!$J$18,IF(Input!$H$18="Monthly",Input!$J$18,""))),"")</f>
        <v/>
      </c>
      <c r="L52" s="6" t="str">
        <f>IF(B52&lt;&gt;"",IF(AND(Input!$H$19="Annual",MOD(B52,12)=0),Input!$J$19,IF(AND(Input!$H$19="1st Installment",B52=1),Input!$J$19,IF(Input!$H$19="Monthly",Input!$J$19,IF(AND(Input!$H$19="End of the loan",B52=Input!$E$22),Input!$J$19,"")))),"")</f>
        <v/>
      </c>
      <c r="M52" s="6" t="str">
        <f t="shared" si="9"/>
        <v/>
      </c>
      <c r="N52" s="4" t="str">
        <f t="shared" si="10"/>
        <v/>
      </c>
      <c r="R52" s="9" t="str">
        <f>IF(EDATE(Input!$E$25,Input!$E$22-1)&lt;=R51,"",EDATE(R51,1))</f>
        <v/>
      </c>
      <c r="S52" s="5" t="str">
        <f t="shared" si="6"/>
        <v xml:space="preserve"> </v>
      </c>
    </row>
    <row r="53" spans="2:19">
      <c r="B53" s="16" t="str">
        <f t="shared" si="7"/>
        <v/>
      </c>
      <c r="C53" s="9" t="str">
        <f t="shared" si="8"/>
        <v/>
      </c>
      <c r="D53" s="6" t="str">
        <f>IFERROR(IF(B53&lt;&gt;"",PPMT(Input!$E$18/12,B53,$C$6,Input!$E$17),"")," ")</f>
        <v/>
      </c>
      <c r="E53" s="6" t="str">
        <f>IFERROR(IPMT(Input!$E$18/12,B53,$C$6,Input!$E$17)," ")</f>
        <v xml:space="preserve"> </v>
      </c>
      <c r="F53" s="6" t="str">
        <f t="shared" si="11"/>
        <v/>
      </c>
      <c r="G53" s="6" t="str">
        <f t="shared" si="12"/>
        <v/>
      </c>
      <c r="H53" s="6" t="str">
        <f t="shared" si="4"/>
        <v xml:space="preserve"> </v>
      </c>
      <c r="I53" s="6" t="str">
        <f t="shared" si="13"/>
        <v/>
      </c>
      <c r="J53" s="6" t="str">
        <f>IF(B53&lt;&gt;"",IF(AND(Input!$H$17="Annual",MOD(B53,12)=0),Input!$J$17,IF(AND(Input!$H$17="1st Installment",B53=1),Input!$J$17,IF(Input!$H$17="Monthly",Input!$J$17,""))),"")</f>
        <v/>
      </c>
      <c r="K53" s="6" t="str">
        <f>IF(B53&lt;&gt;"",IF(AND(Input!$H$18="Annual",MOD(B53,12)=0),Input!$J$18,IF(AND(Input!$H$18="1st Installment",B53=1),Input!$J$18,IF(Input!$H$18="Monthly",Input!$J$18,""))),"")</f>
        <v/>
      </c>
      <c r="L53" s="6" t="str">
        <f>IF(B53&lt;&gt;"",IF(AND(Input!$H$19="Annual",MOD(B53,12)=0),Input!$J$19,IF(AND(Input!$H$19="1st Installment",B53=1),Input!$J$19,IF(Input!$H$19="Monthly",Input!$J$19,IF(AND(Input!$H$19="End of the loan",B53=Input!$E$22),Input!$J$19,"")))),"")</f>
        <v/>
      </c>
      <c r="M53" s="6" t="str">
        <f t="shared" si="9"/>
        <v/>
      </c>
      <c r="N53" s="4" t="str">
        <f t="shared" si="10"/>
        <v/>
      </c>
      <c r="R53" s="9" t="str">
        <f>IF(EDATE(Input!$E$25,Input!$E$22-1)&lt;=R52,"",EDATE(R52,1))</f>
        <v/>
      </c>
      <c r="S53" s="5" t="str">
        <f t="shared" si="6"/>
        <v xml:space="preserve"> </v>
      </c>
    </row>
    <row r="54" spans="2:19">
      <c r="B54" s="16" t="str">
        <f t="shared" si="7"/>
        <v/>
      </c>
      <c r="C54" s="9" t="str">
        <f t="shared" si="8"/>
        <v/>
      </c>
      <c r="D54" s="6" t="str">
        <f>IFERROR(IF(B54&lt;&gt;"",PPMT(Input!$E$18/12,B54,$C$6,Input!$E$17),"")," ")</f>
        <v/>
      </c>
      <c r="E54" s="6" t="str">
        <f>IFERROR(IPMT(Input!$E$18/12,B54,$C$6,Input!$E$17)," ")</f>
        <v xml:space="preserve"> </v>
      </c>
      <c r="F54" s="6" t="str">
        <f t="shared" si="11"/>
        <v/>
      </c>
      <c r="G54" s="6" t="str">
        <f t="shared" si="12"/>
        <v/>
      </c>
      <c r="H54" s="6" t="str">
        <f t="shared" si="4"/>
        <v xml:space="preserve"> </v>
      </c>
      <c r="I54" s="6" t="str">
        <f t="shared" si="13"/>
        <v/>
      </c>
      <c r="J54" s="6" t="str">
        <f>IF(B54&lt;&gt;"",IF(AND(Input!$H$17="Annual",MOD(B54,12)=0),Input!$J$17,IF(AND(Input!$H$17="1st Installment",B54=1),Input!$J$17,IF(Input!$H$17="Monthly",Input!$J$17,""))),"")</f>
        <v/>
      </c>
      <c r="K54" s="6" t="str">
        <f>IF(B54&lt;&gt;"",IF(AND(Input!$H$18="Annual",MOD(B54,12)=0),Input!$J$18,IF(AND(Input!$H$18="1st Installment",B54=1),Input!$J$18,IF(Input!$H$18="Monthly",Input!$J$18,""))),"")</f>
        <v/>
      </c>
      <c r="L54" s="6" t="str">
        <f>IF(B54&lt;&gt;"",IF(AND(Input!$H$19="Annual",MOD(B54,12)=0),Input!$J$19,IF(AND(Input!$H$19="1st Installment",B54=1),Input!$J$19,IF(Input!$H$19="Monthly",Input!$J$19,IF(AND(Input!$H$19="End of the loan",B54=Input!$E$22),Input!$J$19,"")))),"")</f>
        <v/>
      </c>
      <c r="M54" s="6" t="str">
        <f t="shared" si="9"/>
        <v/>
      </c>
      <c r="N54" s="4" t="str">
        <f t="shared" si="10"/>
        <v/>
      </c>
      <c r="R54" s="9" t="str">
        <f>IF(EDATE(Input!$E$25,Input!$E$22-1)&lt;=R53,"",EDATE(R53,1))</f>
        <v/>
      </c>
      <c r="S54" s="5" t="str">
        <f t="shared" si="6"/>
        <v xml:space="preserve"> </v>
      </c>
    </row>
    <row r="55" spans="2:19">
      <c r="B55" s="16" t="str">
        <f t="shared" si="7"/>
        <v/>
      </c>
      <c r="C55" s="9" t="str">
        <f t="shared" si="8"/>
        <v/>
      </c>
      <c r="D55" s="6" t="str">
        <f>IFERROR(IF(B55&lt;&gt;"",PPMT(Input!$E$18/12,B55,$C$6,Input!$E$17),"")," ")</f>
        <v/>
      </c>
      <c r="E55" s="6" t="str">
        <f>IFERROR(IPMT(Input!$E$18/12,B55,$C$6,Input!$E$17)," ")</f>
        <v xml:space="preserve"> </v>
      </c>
      <c r="F55" s="6" t="str">
        <f t="shared" si="11"/>
        <v/>
      </c>
      <c r="G55" s="6" t="str">
        <f t="shared" si="12"/>
        <v/>
      </c>
      <c r="H55" s="6" t="str">
        <f t="shared" si="4"/>
        <v xml:space="preserve"> </v>
      </c>
      <c r="I55" s="6" t="str">
        <f t="shared" si="13"/>
        <v/>
      </c>
      <c r="J55" s="6" t="str">
        <f>IF(B55&lt;&gt;"",IF(AND(Input!$H$17="Annual",MOD(B55,12)=0),Input!$J$17,IF(AND(Input!$H$17="1st Installment",B55=1),Input!$J$17,IF(Input!$H$17="Monthly",Input!$J$17,""))),"")</f>
        <v/>
      </c>
      <c r="K55" s="6" t="str">
        <f>IF(B55&lt;&gt;"",IF(AND(Input!$H$18="Annual",MOD(B55,12)=0),Input!$J$18,IF(AND(Input!$H$18="1st Installment",B55=1),Input!$J$18,IF(Input!$H$18="Monthly",Input!$J$18,""))),"")</f>
        <v/>
      </c>
      <c r="L55" s="6" t="str">
        <f>IF(B55&lt;&gt;"",IF(AND(Input!$H$19="Annual",MOD(B55,12)=0),Input!$J$19,IF(AND(Input!$H$19="1st Installment",B55=1),Input!$J$19,IF(Input!$H$19="Monthly",Input!$J$19,IF(AND(Input!$H$19="End of the loan",B55=Input!$E$22),Input!$J$19,"")))),"")</f>
        <v/>
      </c>
      <c r="M55" s="6" t="str">
        <f t="shared" si="9"/>
        <v/>
      </c>
      <c r="N55" s="4" t="str">
        <f t="shared" si="10"/>
        <v/>
      </c>
      <c r="R55" s="9" t="str">
        <f>IF(EDATE(Input!$E$25,Input!$E$22-1)&lt;=R54,"",EDATE(R54,1))</f>
        <v/>
      </c>
      <c r="S55" s="5" t="str">
        <f t="shared" si="6"/>
        <v xml:space="preserve"> </v>
      </c>
    </row>
    <row r="56" spans="2:19">
      <c r="B56" s="16" t="str">
        <f t="shared" si="7"/>
        <v/>
      </c>
      <c r="C56" s="9" t="str">
        <f t="shared" si="8"/>
        <v/>
      </c>
      <c r="D56" s="6" t="str">
        <f>IFERROR(IF(B56&lt;&gt;"",PPMT(Input!$E$18/12,B56,$C$6,Input!$E$17),"")," ")</f>
        <v/>
      </c>
      <c r="E56" s="6" t="str">
        <f>IFERROR(IPMT(Input!$E$18/12,B56,$C$6,Input!$E$17)," ")</f>
        <v xml:space="preserve"> </v>
      </c>
      <c r="F56" s="6" t="str">
        <f t="shared" si="11"/>
        <v/>
      </c>
      <c r="G56" s="6" t="str">
        <f t="shared" si="12"/>
        <v/>
      </c>
      <c r="H56" s="6" t="str">
        <f t="shared" si="4"/>
        <v xml:space="preserve"> </v>
      </c>
      <c r="I56" s="6" t="str">
        <f t="shared" si="13"/>
        <v/>
      </c>
      <c r="J56" s="6" t="str">
        <f>IF(B56&lt;&gt;"",IF(AND(Input!$H$17="Annual",MOD(B56,12)=0),Input!$J$17,IF(AND(Input!$H$17="1st Installment",B56=1),Input!$J$17,IF(Input!$H$17="Monthly",Input!$J$17,""))),"")</f>
        <v/>
      </c>
      <c r="K56" s="6" t="str">
        <f>IF(B56&lt;&gt;"",IF(AND(Input!$H$18="Annual",MOD(B56,12)=0),Input!$J$18,IF(AND(Input!$H$18="1st Installment",B56=1),Input!$J$18,IF(Input!$H$18="Monthly",Input!$J$18,""))),"")</f>
        <v/>
      </c>
      <c r="L56" s="6" t="str">
        <f>IF(B56&lt;&gt;"",IF(AND(Input!$H$19="Annual",MOD(B56,12)=0),Input!$J$19,IF(AND(Input!$H$19="1st Installment",B56=1),Input!$J$19,IF(Input!$H$19="Monthly",Input!$J$19,IF(AND(Input!$H$19="End of the loan",B56=Input!$E$22),Input!$J$19,"")))),"")</f>
        <v/>
      </c>
      <c r="M56" s="6" t="str">
        <f t="shared" si="9"/>
        <v/>
      </c>
      <c r="N56" s="4" t="str">
        <f t="shared" si="10"/>
        <v/>
      </c>
      <c r="R56" s="9" t="str">
        <f>IF(EDATE(Input!$E$25,Input!$E$22-1)&lt;=R55,"",EDATE(R55,1))</f>
        <v/>
      </c>
      <c r="S56" s="5" t="str">
        <f t="shared" si="6"/>
        <v xml:space="preserve"> </v>
      </c>
    </row>
    <row r="57" spans="2:19">
      <c r="B57" s="16" t="str">
        <f t="shared" si="7"/>
        <v/>
      </c>
      <c r="C57" s="9" t="str">
        <f t="shared" si="8"/>
        <v/>
      </c>
      <c r="D57" s="6" t="str">
        <f>IFERROR(IF(B57&lt;&gt;"",PPMT(Input!$E$18/12,B57,$C$6,Input!$E$17),"")," ")</f>
        <v/>
      </c>
      <c r="E57" s="6" t="str">
        <f>IFERROR(IPMT(Input!$E$18/12,B57,$C$6,Input!$E$17)," ")</f>
        <v xml:space="preserve"> </v>
      </c>
      <c r="F57" s="6" t="str">
        <f t="shared" si="11"/>
        <v/>
      </c>
      <c r="G57" s="6" t="str">
        <f t="shared" si="12"/>
        <v/>
      </c>
      <c r="H57" s="6" t="str">
        <f t="shared" si="4"/>
        <v xml:space="preserve"> </v>
      </c>
      <c r="I57" s="6" t="str">
        <f t="shared" si="13"/>
        <v/>
      </c>
      <c r="J57" s="6" t="str">
        <f>IF(B57&lt;&gt;"",IF(AND(Input!$H$17="Annual",MOD(B57,12)=0),Input!$J$17,IF(AND(Input!$H$17="1st Installment",B57=1),Input!$J$17,IF(Input!$H$17="Monthly",Input!$J$17,""))),"")</f>
        <v/>
      </c>
      <c r="K57" s="6" t="str">
        <f>IF(B57&lt;&gt;"",IF(AND(Input!$H$18="Annual",MOD(B57,12)=0),Input!$J$18,IF(AND(Input!$H$18="1st Installment",B57=1),Input!$J$18,IF(Input!$H$18="Monthly",Input!$J$18,""))),"")</f>
        <v/>
      </c>
      <c r="L57" s="6" t="str">
        <f>IF(B57&lt;&gt;"",IF(AND(Input!$H$19="Annual",MOD(B57,12)=0),Input!$J$19,IF(AND(Input!$H$19="1st Installment",B57=1),Input!$J$19,IF(Input!$H$19="Monthly",Input!$J$19,IF(AND(Input!$H$19="End of the loan",B57=Input!$E$22),Input!$J$19,"")))),"")</f>
        <v/>
      </c>
      <c r="M57" s="6" t="str">
        <f t="shared" si="9"/>
        <v/>
      </c>
      <c r="N57" s="4" t="str">
        <f t="shared" si="10"/>
        <v/>
      </c>
      <c r="R57" s="9" t="str">
        <f>IF(EDATE(Input!$E$25,Input!$E$22-1)&lt;=R56,"",EDATE(R56,1))</f>
        <v/>
      </c>
      <c r="S57" s="5" t="str">
        <f t="shared" si="6"/>
        <v xml:space="preserve"> </v>
      </c>
    </row>
    <row r="58" spans="2:19">
      <c r="B58" s="16" t="str">
        <f t="shared" si="7"/>
        <v/>
      </c>
      <c r="C58" s="9" t="str">
        <f t="shared" si="8"/>
        <v/>
      </c>
      <c r="D58" s="6" t="str">
        <f>IFERROR(IF(B58&lt;&gt;"",PPMT(Input!$E$18/12,B58,$C$6,Input!$E$17),"")," ")</f>
        <v/>
      </c>
      <c r="E58" s="6" t="str">
        <f>IFERROR(IPMT(Input!$E$18/12,B58,$C$6,Input!$E$17)," ")</f>
        <v xml:space="preserve"> </v>
      </c>
      <c r="F58" s="6" t="str">
        <f t="shared" si="11"/>
        <v/>
      </c>
      <c r="G58" s="6" t="str">
        <f t="shared" si="12"/>
        <v/>
      </c>
      <c r="H58" s="6" t="str">
        <f t="shared" si="4"/>
        <v xml:space="preserve"> </v>
      </c>
      <c r="I58" s="6" t="str">
        <f t="shared" si="13"/>
        <v/>
      </c>
      <c r="J58" s="6" t="str">
        <f>IF(B58&lt;&gt;"",IF(AND(Input!$H$17="Annual",MOD(B58,12)=0),Input!$J$17,IF(AND(Input!$H$17="1st Installment",B58=1),Input!$J$17,IF(Input!$H$17="Monthly",Input!$J$17,""))),"")</f>
        <v/>
      </c>
      <c r="K58" s="6" t="str">
        <f>IF(B58&lt;&gt;"",IF(AND(Input!$H$18="Annual",MOD(B58,12)=0),Input!$J$18,IF(AND(Input!$H$18="1st Installment",B58=1),Input!$J$18,IF(Input!$H$18="Monthly",Input!$J$18,""))),"")</f>
        <v/>
      </c>
      <c r="L58" s="6" t="str">
        <f>IF(B58&lt;&gt;"",IF(AND(Input!$H$19="Annual",MOD(B58,12)=0),Input!$J$19,IF(AND(Input!$H$19="1st Installment",B58=1),Input!$J$19,IF(Input!$H$19="Monthly",Input!$J$19,IF(AND(Input!$H$19="End of the loan",B58=Input!$E$22),Input!$J$19,"")))),"")</f>
        <v/>
      </c>
      <c r="M58" s="6" t="str">
        <f t="shared" si="9"/>
        <v/>
      </c>
      <c r="N58" s="4" t="str">
        <f t="shared" si="10"/>
        <v/>
      </c>
      <c r="R58" s="9" t="str">
        <f>IF(EDATE(Input!$E$25,Input!$E$22-1)&lt;=R57,"",EDATE(R57,1))</f>
        <v/>
      </c>
      <c r="S58" s="5" t="str">
        <f t="shared" si="6"/>
        <v xml:space="preserve"> </v>
      </c>
    </row>
    <row r="59" spans="2:19">
      <c r="B59" s="16" t="str">
        <f t="shared" si="7"/>
        <v/>
      </c>
      <c r="C59" s="9" t="str">
        <f t="shared" si="8"/>
        <v/>
      </c>
      <c r="D59" s="6" t="str">
        <f>IFERROR(IF(B59&lt;&gt;"",PPMT(Input!$E$18/12,B59,$C$6,Input!$E$17),"")," ")</f>
        <v/>
      </c>
      <c r="E59" s="6" t="str">
        <f>IFERROR(IPMT(Input!$E$18/12,B59,$C$6,Input!$E$17)," ")</f>
        <v xml:space="preserve"> </v>
      </c>
      <c r="F59" s="6" t="str">
        <f t="shared" si="11"/>
        <v/>
      </c>
      <c r="G59" s="6" t="str">
        <f t="shared" si="12"/>
        <v/>
      </c>
      <c r="H59" s="6" t="str">
        <f t="shared" si="4"/>
        <v xml:space="preserve"> </v>
      </c>
      <c r="I59" s="6" t="str">
        <f t="shared" si="13"/>
        <v/>
      </c>
      <c r="J59" s="6" t="str">
        <f>IF(B59&lt;&gt;"",IF(AND(Input!$H$17="Annual",MOD(B59,12)=0),Input!$J$17,IF(AND(Input!$H$17="1st Installment",B59=1),Input!$J$17,IF(Input!$H$17="Monthly",Input!$J$17,""))),"")</f>
        <v/>
      </c>
      <c r="K59" s="6" t="str">
        <f>IF(B59&lt;&gt;"",IF(AND(Input!$H$18="Annual",MOD(B59,12)=0),Input!$J$18,IF(AND(Input!$H$18="1st Installment",B59=1),Input!$J$18,IF(Input!$H$18="Monthly",Input!$J$18,""))),"")</f>
        <v/>
      </c>
      <c r="L59" s="6" t="str">
        <f>IF(B59&lt;&gt;"",IF(AND(Input!$H$19="Annual",MOD(B59,12)=0),Input!$J$19,IF(AND(Input!$H$19="1st Installment",B59=1),Input!$J$19,IF(Input!$H$19="Monthly",Input!$J$19,IF(AND(Input!$H$19="End of the loan",B59=Input!$E$22),Input!$J$19,"")))),"")</f>
        <v/>
      </c>
      <c r="M59" s="6" t="str">
        <f t="shared" si="9"/>
        <v/>
      </c>
      <c r="N59" s="4" t="str">
        <f t="shared" si="10"/>
        <v/>
      </c>
      <c r="R59" s="9" t="str">
        <f>IF(EDATE(Input!$E$25,Input!$E$22-1)&lt;=R58,"",EDATE(R58,1))</f>
        <v/>
      </c>
      <c r="S59" s="5" t="str">
        <f t="shared" si="6"/>
        <v xml:space="preserve"> </v>
      </c>
    </row>
    <row r="60" spans="2:19">
      <c r="B60" s="16" t="str">
        <f t="shared" si="7"/>
        <v/>
      </c>
      <c r="C60" s="9" t="str">
        <f t="shared" si="8"/>
        <v/>
      </c>
      <c r="D60" s="6" t="str">
        <f>IFERROR(IF(B60&lt;&gt;"",PPMT(Input!$E$18/12,B60,$C$6,Input!$E$17),"")," ")</f>
        <v/>
      </c>
      <c r="E60" s="6" t="str">
        <f>IFERROR(IPMT(Input!$E$18/12,B60,$C$6,Input!$E$17)," ")</f>
        <v xml:space="preserve"> </v>
      </c>
      <c r="F60" s="6" t="str">
        <f t="shared" si="11"/>
        <v/>
      </c>
      <c r="G60" s="6" t="str">
        <f t="shared" si="12"/>
        <v/>
      </c>
      <c r="H60" s="6" t="str">
        <f t="shared" si="4"/>
        <v xml:space="preserve"> </v>
      </c>
      <c r="I60" s="6" t="str">
        <f t="shared" si="13"/>
        <v/>
      </c>
      <c r="J60" s="6" t="str">
        <f>IF(B60&lt;&gt;"",IF(AND(Input!$H$17="Annual",MOD(B60,12)=0),Input!$J$17,IF(AND(Input!$H$17="1st Installment",B60=1),Input!$J$17,IF(Input!$H$17="Monthly",Input!$J$17,""))),"")</f>
        <v/>
      </c>
      <c r="K60" s="6" t="str">
        <f>IF(B60&lt;&gt;"",IF(AND(Input!$H$18="Annual",MOD(B60,12)=0),Input!$J$18,IF(AND(Input!$H$18="1st Installment",B60=1),Input!$J$18,IF(Input!$H$18="Monthly",Input!$J$18,""))),"")</f>
        <v/>
      </c>
      <c r="L60" s="6" t="str">
        <f>IF(B60&lt;&gt;"",IF(AND(Input!$H$19="Annual",MOD(B60,12)=0),Input!$J$19,IF(AND(Input!$H$19="1st Installment",B60=1),Input!$J$19,IF(Input!$H$19="Monthly",Input!$J$19,IF(AND(Input!$H$19="End of the loan",B60=Input!$E$22),Input!$J$19,"")))),"")</f>
        <v/>
      </c>
      <c r="M60" s="6" t="str">
        <f t="shared" si="9"/>
        <v/>
      </c>
      <c r="N60" s="4" t="str">
        <f t="shared" si="10"/>
        <v/>
      </c>
      <c r="R60" s="9" t="str">
        <f>IF(EDATE(Input!$E$25,Input!$E$22-1)&lt;=R59,"",EDATE(R59,1))</f>
        <v/>
      </c>
      <c r="S60" s="5" t="str">
        <f t="shared" si="6"/>
        <v xml:space="preserve"> </v>
      </c>
    </row>
    <row r="61" spans="2:19">
      <c r="B61" s="16" t="str">
        <f t="shared" si="7"/>
        <v/>
      </c>
      <c r="C61" s="9" t="str">
        <f t="shared" si="8"/>
        <v/>
      </c>
      <c r="D61" s="6" t="str">
        <f>IFERROR(IF(B61&lt;&gt;"",PPMT(Input!$E$18/12,B61,$C$6,Input!$E$17),"")," ")</f>
        <v/>
      </c>
      <c r="E61" s="6" t="str">
        <f>IFERROR(IPMT(Input!$E$18/12,B61,$C$6,Input!$E$17)," ")</f>
        <v xml:space="preserve"> </v>
      </c>
      <c r="F61" s="6" t="str">
        <f t="shared" si="11"/>
        <v/>
      </c>
      <c r="G61" s="6" t="str">
        <f t="shared" si="12"/>
        <v/>
      </c>
      <c r="H61" s="6" t="str">
        <f t="shared" si="4"/>
        <v xml:space="preserve"> </v>
      </c>
      <c r="I61" s="6" t="str">
        <f t="shared" si="13"/>
        <v/>
      </c>
      <c r="J61" s="6" t="str">
        <f>IF(B61&lt;&gt;"",IF(AND(Input!$H$17="Annual",MOD(B61,12)=0),Input!$J$17,IF(AND(Input!$H$17="1st Installment",B61=1),Input!$J$17,IF(Input!$H$17="Monthly",Input!$J$17,""))),"")</f>
        <v/>
      </c>
      <c r="K61" s="6" t="str">
        <f>IF(B61&lt;&gt;"",IF(AND(Input!$H$18="Annual",MOD(B61,12)=0),Input!$J$18,IF(AND(Input!$H$18="1st Installment",B61=1),Input!$J$18,IF(Input!$H$18="Monthly",Input!$J$18,""))),"")</f>
        <v/>
      </c>
      <c r="L61" s="6" t="str">
        <f>IF(B61&lt;&gt;"",IF(AND(Input!$H$19="Annual",MOD(B61,12)=0),Input!$J$19,IF(AND(Input!$H$19="1st Installment",B61=1),Input!$J$19,IF(Input!$H$19="Monthly",Input!$J$19,IF(AND(Input!$H$19="End of the loan",B61=Input!$E$22),Input!$J$19,"")))),"")</f>
        <v/>
      </c>
      <c r="M61" s="6" t="str">
        <f t="shared" si="9"/>
        <v/>
      </c>
      <c r="N61" s="4" t="str">
        <f t="shared" si="10"/>
        <v/>
      </c>
      <c r="R61" s="9" t="str">
        <f>IF(EDATE(Input!$E$25,Input!$E$22-1)&lt;=R60,"",EDATE(R60,1))</f>
        <v/>
      </c>
      <c r="S61" s="5" t="str">
        <f t="shared" si="6"/>
        <v xml:space="preserve"> </v>
      </c>
    </row>
    <row r="62" spans="2:19">
      <c r="B62" s="16" t="str">
        <f t="shared" si="7"/>
        <v/>
      </c>
      <c r="C62" s="9" t="str">
        <f t="shared" si="8"/>
        <v/>
      </c>
      <c r="D62" s="6" t="str">
        <f>IFERROR(IF(B62&lt;&gt;"",PPMT(Input!$E$18/12,B62,$C$6,Input!$E$17),"")," ")</f>
        <v/>
      </c>
      <c r="E62" s="6" t="str">
        <f>IFERROR(IPMT(Input!$E$18/12,B62,$C$6,Input!$E$17)," ")</f>
        <v xml:space="preserve"> </v>
      </c>
      <c r="F62" s="6" t="str">
        <f t="shared" si="11"/>
        <v/>
      </c>
      <c r="G62" s="6" t="str">
        <f t="shared" si="12"/>
        <v/>
      </c>
      <c r="H62" s="6" t="str">
        <f t="shared" si="4"/>
        <v xml:space="preserve"> </v>
      </c>
      <c r="I62" s="6" t="str">
        <f t="shared" si="13"/>
        <v/>
      </c>
      <c r="J62" s="6" t="str">
        <f>IF(B62&lt;&gt;"",IF(AND(Input!$H$17="Annual",MOD(B62,12)=0),Input!$J$17,IF(AND(Input!$H$17="1st Installment",B62=1),Input!$J$17,IF(Input!$H$17="Monthly",Input!$J$17,""))),"")</f>
        <v/>
      </c>
      <c r="K62" s="6" t="str">
        <f>IF(B62&lt;&gt;"",IF(AND(Input!$H$18="Annual",MOD(B62,12)=0),Input!$J$18,IF(AND(Input!$H$18="1st Installment",B62=1),Input!$J$18,IF(Input!$H$18="Monthly",Input!$J$18,""))),"")</f>
        <v/>
      </c>
      <c r="L62" s="6" t="str">
        <f>IF(B62&lt;&gt;"",IF(AND(Input!$H$19="Annual",MOD(B62,12)=0),Input!$J$19,IF(AND(Input!$H$19="1st Installment",B62=1),Input!$J$19,IF(Input!$H$19="Monthly",Input!$J$19,IF(AND(Input!$H$19="End of the loan",B62=Input!$E$22),Input!$J$19,"")))),"")</f>
        <v/>
      </c>
      <c r="M62" s="6" t="str">
        <f t="shared" si="9"/>
        <v/>
      </c>
      <c r="N62" s="4" t="str">
        <f t="shared" si="10"/>
        <v/>
      </c>
      <c r="R62" s="9" t="str">
        <f>IF(EDATE(Input!$E$25,Input!$E$22-1)&lt;=R61,"",EDATE(R61,1))</f>
        <v/>
      </c>
      <c r="S62" s="5" t="str">
        <f t="shared" si="6"/>
        <v xml:space="preserve"> </v>
      </c>
    </row>
    <row r="63" spans="2:19">
      <c r="B63" s="16" t="str">
        <f t="shared" si="7"/>
        <v/>
      </c>
      <c r="C63" s="9" t="str">
        <f t="shared" si="8"/>
        <v/>
      </c>
      <c r="D63" s="6" t="str">
        <f>IFERROR(IF(B63&lt;&gt;"",PPMT(Input!$E$18/12,B63,$C$6,Input!$E$17),"")," ")</f>
        <v/>
      </c>
      <c r="E63" s="6" t="str">
        <f>IFERROR(IPMT(Input!$E$18/12,B63,$C$6,Input!$E$17)," ")</f>
        <v xml:space="preserve"> </v>
      </c>
      <c r="F63" s="6" t="str">
        <f t="shared" si="11"/>
        <v/>
      </c>
      <c r="G63" s="6" t="str">
        <f t="shared" si="12"/>
        <v/>
      </c>
      <c r="H63" s="6" t="str">
        <f t="shared" si="4"/>
        <v xml:space="preserve"> </v>
      </c>
      <c r="I63" s="6" t="str">
        <f t="shared" si="13"/>
        <v/>
      </c>
      <c r="J63" s="6" t="str">
        <f>IF(B63&lt;&gt;"",IF(AND(Input!$H$17="Annual",MOD(B63,12)=0),Input!$J$17,IF(AND(Input!$H$17="1st Installment",B63=1),Input!$J$17,IF(Input!$H$17="Monthly",Input!$J$17,""))),"")</f>
        <v/>
      </c>
      <c r="K63" s="6" t="str">
        <f>IF(B63&lt;&gt;"",IF(AND(Input!$H$18="Annual",MOD(B63,12)=0),Input!$J$18,IF(AND(Input!$H$18="1st Installment",B63=1),Input!$J$18,IF(Input!$H$18="Monthly",Input!$J$18,""))),"")</f>
        <v/>
      </c>
      <c r="L63" s="6" t="str">
        <f>IF(B63&lt;&gt;"",IF(AND(Input!$H$19="Annual",MOD(B63,12)=0),Input!$J$19,IF(AND(Input!$H$19="1st Installment",B63=1),Input!$J$19,IF(Input!$H$19="Monthly",Input!$J$19,IF(AND(Input!$H$19="End of the loan",B63=Input!$E$22),Input!$J$19,"")))),"")</f>
        <v/>
      </c>
      <c r="M63" s="6" t="str">
        <f t="shared" si="9"/>
        <v/>
      </c>
      <c r="N63" s="4" t="str">
        <f t="shared" si="10"/>
        <v/>
      </c>
      <c r="R63" s="9" t="str">
        <f>IF(EDATE(Input!$E$25,Input!$E$22-1)&lt;=R62,"",EDATE(R62,1))</f>
        <v/>
      </c>
      <c r="S63" s="5" t="str">
        <f t="shared" si="6"/>
        <v xml:space="preserve"> </v>
      </c>
    </row>
    <row r="64" spans="2:19">
      <c r="B64" s="16" t="str">
        <f t="shared" si="7"/>
        <v/>
      </c>
      <c r="C64" s="9" t="str">
        <f t="shared" si="8"/>
        <v/>
      </c>
      <c r="D64" s="6" t="str">
        <f>IFERROR(IF(B64&lt;&gt;"",PPMT(Input!$E$18/12,B64,$C$6,Input!$E$17),"")," ")</f>
        <v/>
      </c>
      <c r="E64" s="6" t="str">
        <f>IFERROR(IPMT(Input!$E$18/12,B64,$C$6,Input!$E$17)," ")</f>
        <v xml:space="preserve"> </v>
      </c>
      <c r="F64" s="6" t="str">
        <f t="shared" si="11"/>
        <v/>
      </c>
      <c r="G64" s="6" t="str">
        <f t="shared" si="12"/>
        <v/>
      </c>
      <c r="H64" s="6" t="str">
        <f t="shared" si="4"/>
        <v xml:space="preserve"> </v>
      </c>
      <c r="I64" s="6" t="str">
        <f t="shared" si="13"/>
        <v/>
      </c>
      <c r="J64" s="6" t="str">
        <f>IF(B64&lt;&gt;"",IF(AND(Input!$H$17="Annual",MOD(B64,12)=0),Input!$J$17,IF(AND(Input!$H$17="1st Installment",B64=1),Input!$J$17,IF(Input!$H$17="Monthly",Input!$J$17,""))),"")</f>
        <v/>
      </c>
      <c r="K64" s="6" t="str">
        <f>IF(B64&lt;&gt;"",IF(AND(Input!$H$18="Annual",MOD(B64,12)=0),Input!$J$18,IF(AND(Input!$H$18="1st Installment",B64=1),Input!$J$18,IF(Input!$H$18="Monthly",Input!$J$18,""))),"")</f>
        <v/>
      </c>
      <c r="L64" s="6" t="str">
        <f>IF(B64&lt;&gt;"",IF(AND(Input!$H$19="Annual",MOD(B64,12)=0),Input!$J$19,IF(AND(Input!$H$19="1st Installment",B64=1),Input!$J$19,IF(Input!$H$19="Monthly",Input!$J$19,IF(AND(Input!$H$19="End of the loan",B64=Input!$E$22),Input!$J$19,"")))),"")</f>
        <v/>
      </c>
      <c r="M64" s="6" t="str">
        <f t="shared" si="9"/>
        <v/>
      </c>
      <c r="N64" s="4" t="str">
        <f t="shared" si="10"/>
        <v/>
      </c>
      <c r="R64" s="9" t="str">
        <f>IF(EDATE(Input!$E$25,Input!$E$22-1)&lt;=R63,"",EDATE(R63,1))</f>
        <v/>
      </c>
      <c r="S64" s="5" t="str">
        <f t="shared" si="6"/>
        <v xml:space="preserve"> </v>
      </c>
    </row>
    <row r="65" spans="2:19">
      <c r="B65" s="16" t="str">
        <f t="shared" si="7"/>
        <v/>
      </c>
      <c r="C65" s="9" t="str">
        <f t="shared" si="8"/>
        <v/>
      </c>
      <c r="D65" s="6" t="str">
        <f>IFERROR(IF(B65&lt;&gt;"",PPMT(Input!$E$18/12,B65,$C$6,Input!$E$17),"")," ")</f>
        <v/>
      </c>
      <c r="E65" s="6" t="str">
        <f>IFERROR(IPMT(Input!$E$18/12,B65,$C$6,Input!$E$17)," ")</f>
        <v xml:space="preserve"> </v>
      </c>
      <c r="F65" s="6" t="str">
        <f t="shared" si="11"/>
        <v/>
      </c>
      <c r="G65" s="6" t="str">
        <f t="shared" si="12"/>
        <v/>
      </c>
      <c r="H65" s="6" t="str">
        <f t="shared" si="4"/>
        <v xml:space="preserve"> </v>
      </c>
      <c r="I65" s="6" t="str">
        <f t="shared" si="13"/>
        <v/>
      </c>
      <c r="J65" s="6" t="str">
        <f>IF(B65&lt;&gt;"",IF(AND(Input!$H$17="Annual",MOD(B65,12)=0),Input!$J$17,IF(AND(Input!$H$17="1st Installment",B65=1),Input!$J$17,IF(Input!$H$17="Monthly",Input!$J$17,""))),"")</f>
        <v/>
      </c>
      <c r="K65" s="6" t="str">
        <f>IF(B65&lt;&gt;"",IF(AND(Input!$H$18="Annual",MOD(B65,12)=0),Input!$J$18,IF(AND(Input!$H$18="1st Installment",B65=1),Input!$J$18,IF(Input!$H$18="Monthly",Input!$J$18,""))),"")</f>
        <v/>
      </c>
      <c r="L65" s="6" t="str">
        <f>IF(B65&lt;&gt;"",IF(AND(Input!$H$19="Annual",MOD(B65,12)=0),Input!$J$19,IF(AND(Input!$H$19="1st Installment",B65=1),Input!$J$19,IF(Input!$H$19="Monthly",Input!$J$19,IF(AND(Input!$H$19="End of the loan",B65=Input!$E$22),Input!$J$19,"")))),"")</f>
        <v/>
      </c>
      <c r="M65" s="6" t="str">
        <f t="shared" si="9"/>
        <v/>
      </c>
      <c r="N65" s="4" t="str">
        <f t="shared" si="10"/>
        <v/>
      </c>
      <c r="R65" s="9" t="str">
        <f>IF(EDATE(Input!$E$25,Input!$E$22-1)&lt;=R64,"",EDATE(R64,1))</f>
        <v/>
      </c>
      <c r="S65" s="5" t="str">
        <f t="shared" si="6"/>
        <v xml:space="preserve"> </v>
      </c>
    </row>
    <row r="66" spans="2:19">
      <c r="B66" s="16" t="str">
        <f t="shared" si="7"/>
        <v/>
      </c>
      <c r="C66" s="9" t="str">
        <f t="shared" si="8"/>
        <v/>
      </c>
      <c r="D66" s="6" t="str">
        <f>IFERROR(IF(B66&lt;&gt;"",PPMT(Input!$E$18/12,B66,$C$6,Input!$E$17),"")," ")</f>
        <v/>
      </c>
      <c r="E66" s="6" t="str">
        <f>IFERROR(IPMT(Input!$E$18/12,B66,$C$6,Input!$E$17)," ")</f>
        <v xml:space="preserve"> </v>
      </c>
      <c r="F66" s="6" t="str">
        <f t="shared" si="11"/>
        <v/>
      </c>
      <c r="G66" s="6" t="str">
        <f t="shared" si="12"/>
        <v/>
      </c>
      <c r="H66" s="6" t="str">
        <f t="shared" si="4"/>
        <v xml:space="preserve"> </v>
      </c>
      <c r="I66" s="6" t="str">
        <f t="shared" si="13"/>
        <v/>
      </c>
      <c r="J66" s="6" t="str">
        <f>IF(B66&lt;&gt;"",IF(AND(Input!$H$17="Annual",MOD(B66,12)=0),Input!$J$17,IF(AND(Input!$H$17="1st Installment",B66=1),Input!$J$17,IF(Input!$H$17="Monthly",Input!$J$17,""))),"")</f>
        <v/>
      </c>
      <c r="K66" s="6" t="str">
        <f>IF(B66&lt;&gt;"",IF(AND(Input!$H$18="Annual",MOD(B66,12)=0),Input!$J$18,IF(AND(Input!$H$18="1st Installment",B66=1),Input!$J$18,IF(Input!$H$18="Monthly",Input!$J$18,""))),"")</f>
        <v/>
      </c>
      <c r="L66" s="6" t="str">
        <f>IF(B66&lt;&gt;"",IF(AND(Input!$H$19="Annual",MOD(B66,12)=0),Input!$J$19,IF(AND(Input!$H$19="1st Installment",B66=1),Input!$J$19,IF(Input!$H$19="Monthly",Input!$J$19,IF(AND(Input!$H$19="End of the loan",B66=Input!$E$22),Input!$J$19,"")))),"")</f>
        <v/>
      </c>
      <c r="M66" s="6" t="str">
        <f t="shared" si="9"/>
        <v/>
      </c>
      <c r="N66" s="4" t="str">
        <f t="shared" si="10"/>
        <v/>
      </c>
      <c r="R66" s="9" t="str">
        <f>IF(EDATE(Input!$E$25,Input!$E$22-1)&lt;=R65,"",EDATE(R65,1))</f>
        <v/>
      </c>
      <c r="S66" s="5" t="str">
        <f t="shared" si="6"/>
        <v xml:space="preserve"> </v>
      </c>
    </row>
    <row r="67" spans="2:19">
      <c r="B67" s="16" t="str">
        <f t="shared" si="7"/>
        <v/>
      </c>
      <c r="C67" s="9" t="str">
        <f t="shared" si="8"/>
        <v/>
      </c>
      <c r="D67" s="6" t="str">
        <f>IFERROR(IF(B67&lt;&gt;"",PPMT(Input!$E$18/12,B67,$C$6,Input!$E$17),"")," ")</f>
        <v/>
      </c>
      <c r="E67" s="6" t="str">
        <f>IFERROR(IPMT(Input!$E$18/12,B67,$C$6,Input!$E$17)," ")</f>
        <v xml:space="preserve"> </v>
      </c>
      <c r="F67" s="6" t="str">
        <f t="shared" si="11"/>
        <v/>
      </c>
      <c r="G67" s="6" t="str">
        <f t="shared" si="12"/>
        <v/>
      </c>
      <c r="H67" s="6" t="str">
        <f t="shared" si="4"/>
        <v xml:space="preserve"> </v>
      </c>
      <c r="I67" s="6" t="str">
        <f t="shared" si="13"/>
        <v/>
      </c>
      <c r="J67" s="6" t="str">
        <f>IF(B67&lt;&gt;"",IF(AND(Input!$H$17="Annual",MOD(B67,12)=0),Input!$J$17,IF(AND(Input!$H$17="1st Installment",B67=1),Input!$J$17,IF(Input!$H$17="Monthly",Input!$J$17,""))),"")</f>
        <v/>
      </c>
      <c r="K67" s="6" t="str">
        <f>IF(B67&lt;&gt;"",IF(AND(Input!$H$18="Annual",MOD(B67,12)=0),Input!$J$18,IF(AND(Input!$H$18="1st Installment",B67=1),Input!$J$18,IF(Input!$H$18="Monthly",Input!$J$18,""))),"")</f>
        <v/>
      </c>
      <c r="L67" s="6" t="str">
        <f>IF(B67&lt;&gt;"",IF(AND(Input!$H$19="Annual",MOD(B67,12)=0),Input!$J$19,IF(AND(Input!$H$19="1st Installment",B67=1),Input!$J$19,IF(Input!$H$19="Monthly",Input!$J$19,IF(AND(Input!$H$19="End of the loan",B67=Input!$E$22),Input!$J$19,"")))),"")</f>
        <v/>
      </c>
      <c r="M67" s="6" t="str">
        <f t="shared" si="9"/>
        <v/>
      </c>
      <c r="N67" s="4" t="str">
        <f t="shared" si="10"/>
        <v/>
      </c>
      <c r="R67" s="9" t="str">
        <f>IF(EDATE(Input!$E$25,Input!$E$22-1)&lt;=R66,"",EDATE(R66,1))</f>
        <v/>
      </c>
      <c r="S67" s="5" t="str">
        <f t="shared" si="6"/>
        <v xml:space="preserve"> </v>
      </c>
    </row>
    <row r="68" spans="2:19">
      <c r="B68" s="16" t="str">
        <f t="shared" si="7"/>
        <v/>
      </c>
      <c r="C68" s="9" t="str">
        <f t="shared" si="8"/>
        <v/>
      </c>
      <c r="D68" s="6" t="str">
        <f>IFERROR(IF(B68&lt;&gt;"",PPMT(Input!$E$18/12,B68,$C$6,Input!$E$17),"")," ")</f>
        <v/>
      </c>
      <c r="E68" s="6" t="str">
        <f>IFERROR(IPMT(Input!$E$18/12,B68,$C$6,Input!$E$17)," ")</f>
        <v xml:space="preserve"> </v>
      </c>
      <c r="F68" s="6" t="str">
        <f t="shared" si="11"/>
        <v/>
      </c>
      <c r="G68" s="6" t="str">
        <f t="shared" si="12"/>
        <v/>
      </c>
      <c r="H68" s="6" t="str">
        <f t="shared" si="4"/>
        <v xml:space="preserve"> </v>
      </c>
      <c r="I68" s="6" t="str">
        <f t="shared" si="13"/>
        <v/>
      </c>
      <c r="J68" s="6" t="str">
        <f>IF(B68&lt;&gt;"",IF(AND(Input!$H$17="Annual",MOD(B68,12)=0),Input!$J$17,IF(AND(Input!$H$17="1st Installment",B68=1),Input!$J$17,IF(Input!$H$17="Monthly",Input!$J$17,""))),"")</f>
        <v/>
      </c>
      <c r="K68" s="6" t="str">
        <f>IF(B68&lt;&gt;"",IF(AND(Input!$H$18="Annual",MOD(B68,12)=0),Input!$J$18,IF(AND(Input!$H$18="1st Installment",B68=1),Input!$J$18,IF(Input!$H$18="Monthly",Input!$J$18,""))),"")</f>
        <v/>
      </c>
      <c r="L68" s="6" t="str">
        <f>IF(B68&lt;&gt;"",IF(AND(Input!$H$19="Annual",MOD(B68,12)=0),Input!$J$19,IF(AND(Input!$H$19="1st Installment",B68=1),Input!$J$19,IF(Input!$H$19="Monthly",Input!$J$19,IF(AND(Input!$H$19="End of the loan",B68=Input!$E$22),Input!$J$19,"")))),"")</f>
        <v/>
      </c>
      <c r="M68" s="6" t="str">
        <f t="shared" si="9"/>
        <v/>
      </c>
      <c r="N68" s="4" t="str">
        <f t="shared" si="10"/>
        <v/>
      </c>
      <c r="R68" s="9" t="str">
        <f>IF(EDATE(Input!$E$25,Input!$E$22-1)&lt;=R67,"",EDATE(R67,1))</f>
        <v/>
      </c>
      <c r="S68" s="5" t="str">
        <f t="shared" si="6"/>
        <v xml:space="preserve"> </v>
      </c>
    </row>
    <row r="69" spans="2:19">
      <c r="B69" s="16" t="str">
        <f t="shared" si="7"/>
        <v/>
      </c>
      <c r="C69" s="9" t="str">
        <f t="shared" si="8"/>
        <v/>
      </c>
      <c r="D69" s="6" t="str">
        <f>IFERROR(IF(B69&lt;&gt;"",PPMT(Input!$E$18/12,B69,$C$6,Input!$E$17),"")," ")</f>
        <v/>
      </c>
      <c r="E69" s="6" t="str">
        <f>IFERROR(IPMT(Input!$E$18/12,B69,$C$6,Input!$E$17)," ")</f>
        <v xml:space="preserve"> </v>
      </c>
      <c r="F69" s="6" t="str">
        <f t="shared" si="11"/>
        <v/>
      </c>
      <c r="G69" s="6" t="str">
        <f t="shared" si="12"/>
        <v/>
      </c>
      <c r="H69" s="6" t="str">
        <f t="shared" si="4"/>
        <v xml:space="preserve"> </v>
      </c>
      <c r="I69" s="6" t="str">
        <f t="shared" si="13"/>
        <v/>
      </c>
      <c r="J69" s="6" t="str">
        <f>IF(B69&lt;&gt;"",IF(AND(Input!$H$17="Annual",MOD(B69,12)=0),Input!$J$17,IF(AND(Input!$H$17="1st Installment",B69=1),Input!$J$17,IF(Input!$H$17="Monthly",Input!$J$17,""))),"")</f>
        <v/>
      </c>
      <c r="K69" s="6" t="str">
        <f>IF(B69&lt;&gt;"",IF(AND(Input!$H$18="Annual",MOD(B69,12)=0),Input!$J$18,IF(AND(Input!$H$18="1st Installment",B69=1),Input!$J$18,IF(Input!$H$18="Monthly",Input!$J$18,""))),"")</f>
        <v/>
      </c>
      <c r="L69" s="6" t="str">
        <f>IF(B69&lt;&gt;"",IF(AND(Input!$H$19="Annual",MOD(B69,12)=0),Input!$J$19,IF(AND(Input!$H$19="1st Installment",B69=1),Input!$J$19,IF(Input!$H$19="Monthly",Input!$J$19,IF(AND(Input!$H$19="End of the loan",B69=Input!$E$22),Input!$J$19,"")))),"")</f>
        <v/>
      </c>
      <c r="M69" s="6" t="str">
        <f t="shared" si="9"/>
        <v/>
      </c>
      <c r="N69" s="4" t="str">
        <f t="shared" si="10"/>
        <v/>
      </c>
      <c r="R69" s="9" t="str">
        <f>IF(EDATE(Input!$E$25,Input!$E$22-1)&lt;=R68,"",EDATE(R68,1))</f>
        <v/>
      </c>
      <c r="S69" s="5" t="str">
        <f t="shared" si="6"/>
        <v xml:space="preserve"> </v>
      </c>
    </row>
    <row r="70" spans="2:19">
      <c r="B70" s="16" t="str">
        <f t="shared" si="7"/>
        <v/>
      </c>
      <c r="C70" s="9" t="str">
        <f t="shared" si="8"/>
        <v/>
      </c>
      <c r="D70" s="6" t="str">
        <f>IFERROR(IF(B70&lt;&gt;"",PPMT(Input!$E$18/12,B70,$C$6,Input!$E$17),"")," ")</f>
        <v/>
      </c>
      <c r="E70" s="6" t="str">
        <f>IFERROR(IPMT(Input!$E$18/12,B70,$C$6,Input!$E$17)," ")</f>
        <v xml:space="preserve"> </v>
      </c>
      <c r="F70" s="6" t="str">
        <f t="shared" si="11"/>
        <v/>
      </c>
      <c r="G70" s="6" t="str">
        <f t="shared" si="12"/>
        <v/>
      </c>
      <c r="H70" s="6" t="str">
        <f t="shared" si="4"/>
        <v xml:space="preserve"> </v>
      </c>
      <c r="I70" s="6" t="str">
        <f t="shared" si="13"/>
        <v/>
      </c>
      <c r="J70" s="6" t="str">
        <f>IF(B70&lt;&gt;"",IF(AND(Input!$H$17="Annual",MOD(B70,12)=0),Input!$J$17,IF(AND(Input!$H$17="1st Installment",B70=1),Input!$J$17,IF(Input!$H$17="Monthly",Input!$J$17,""))),"")</f>
        <v/>
      </c>
      <c r="K70" s="6" t="str">
        <f>IF(B70&lt;&gt;"",IF(AND(Input!$H$18="Annual",MOD(B70,12)=0),Input!$J$18,IF(AND(Input!$H$18="1st Installment",B70=1),Input!$J$18,IF(Input!$H$18="Monthly",Input!$J$18,""))),"")</f>
        <v/>
      </c>
      <c r="L70" s="6" t="str">
        <f>IF(B70&lt;&gt;"",IF(AND(Input!$H$19="Annual",MOD(B70,12)=0),Input!$J$19,IF(AND(Input!$H$19="1st Installment",B70=1),Input!$J$19,IF(Input!$H$19="Monthly",Input!$J$19,IF(AND(Input!$H$19="End of the loan",B70=Input!$E$22),Input!$J$19,"")))),"")</f>
        <v/>
      </c>
      <c r="M70" s="6" t="str">
        <f t="shared" si="9"/>
        <v/>
      </c>
      <c r="N70" s="4" t="str">
        <f t="shared" si="10"/>
        <v/>
      </c>
      <c r="R70" s="9" t="str">
        <f>IF(EDATE(Input!$E$25,Input!$E$22-1)&lt;=R69,"",EDATE(R69,1))</f>
        <v/>
      </c>
      <c r="S70" s="5" t="str">
        <f t="shared" si="6"/>
        <v xml:space="preserve"> </v>
      </c>
    </row>
    <row r="71" spans="2:19">
      <c r="B71" s="16" t="str">
        <f t="shared" si="7"/>
        <v/>
      </c>
      <c r="C71" s="9" t="str">
        <f t="shared" si="8"/>
        <v/>
      </c>
      <c r="D71" s="6" t="str">
        <f>IFERROR(IF(B71&lt;&gt;"",PPMT(Input!$E$18/12,B71,$C$6,Input!$E$17),"")," ")</f>
        <v/>
      </c>
      <c r="E71" s="6" t="str">
        <f>IFERROR(IPMT(Input!$E$18/12,B71,$C$6,Input!$E$17)," ")</f>
        <v xml:space="preserve"> </v>
      </c>
      <c r="F71" s="6" t="str">
        <f t="shared" si="11"/>
        <v/>
      </c>
      <c r="G71" s="6" t="str">
        <f t="shared" si="12"/>
        <v/>
      </c>
      <c r="H71" s="6" t="str">
        <f t="shared" si="4"/>
        <v xml:space="preserve"> </v>
      </c>
      <c r="I71" s="6" t="str">
        <f t="shared" si="13"/>
        <v/>
      </c>
      <c r="J71" s="6" t="str">
        <f>IF(B71&lt;&gt;"",IF(AND(Input!$H$17="Annual",MOD(B71,12)=0),Input!$J$17,IF(AND(Input!$H$17="1st Installment",B71=1),Input!$J$17,IF(Input!$H$17="Monthly",Input!$J$17,""))),"")</f>
        <v/>
      </c>
      <c r="K71" s="6" t="str">
        <f>IF(B71&lt;&gt;"",IF(AND(Input!$H$18="Annual",MOD(B71,12)=0),Input!$J$18,IF(AND(Input!$H$18="1st Installment",B71=1),Input!$J$18,IF(Input!$H$18="Monthly",Input!$J$18,""))),"")</f>
        <v/>
      </c>
      <c r="L71" s="6" t="str">
        <f>IF(B71&lt;&gt;"",IF(AND(Input!$H$19="Annual",MOD(B71,12)=0),Input!$J$19,IF(AND(Input!$H$19="1st Installment",B71=1),Input!$J$19,IF(Input!$H$19="Monthly",Input!$J$19,IF(AND(Input!$H$19="End of the loan",B71=Input!$E$22),Input!$J$19,"")))),"")</f>
        <v/>
      </c>
      <c r="M71" s="6" t="str">
        <f t="shared" si="9"/>
        <v/>
      </c>
      <c r="N71" s="4" t="str">
        <f t="shared" si="10"/>
        <v/>
      </c>
      <c r="R71" s="9" t="str">
        <f>IF(EDATE(Input!$E$25,Input!$E$22-1)&lt;=R70,"",EDATE(R70,1))</f>
        <v/>
      </c>
      <c r="S71" s="5" t="str">
        <f t="shared" si="6"/>
        <v xml:space="preserve"> </v>
      </c>
    </row>
    <row r="72" spans="2:19">
      <c r="B72" s="16" t="str">
        <f t="shared" si="7"/>
        <v/>
      </c>
      <c r="C72" s="9" t="str">
        <f t="shared" si="8"/>
        <v/>
      </c>
      <c r="D72" s="6" t="str">
        <f>IFERROR(IF(B72&lt;&gt;"",PPMT(Input!$E$18/12,B72,$C$6,Input!$E$17),"")," ")</f>
        <v/>
      </c>
      <c r="E72" s="6" t="str">
        <f>IFERROR(IPMT(Input!$E$18/12,B72,$C$6,Input!$E$17)," ")</f>
        <v xml:space="preserve"> </v>
      </c>
      <c r="F72" s="6" t="str">
        <f t="shared" si="11"/>
        <v/>
      </c>
      <c r="G72" s="6" t="str">
        <f t="shared" si="12"/>
        <v/>
      </c>
      <c r="H72" s="6" t="str">
        <f t="shared" si="4"/>
        <v xml:space="preserve"> </v>
      </c>
      <c r="I72" s="6" t="str">
        <f t="shared" si="13"/>
        <v/>
      </c>
      <c r="J72" s="6" t="str">
        <f>IF(B72&lt;&gt;"",IF(AND(Input!$H$17="Annual",MOD(B72,12)=0),Input!$J$17,IF(AND(Input!$H$17="1st Installment",B72=1),Input!$J$17,IF(Input!$H$17="Monthly",Input!$J$17,""))),"")</f>
        <v/>
      </c>
      <c r="K72" s="6" t="str">
        <f>IF(B72&lt;&gt;"",IF(AND(Input!$H$18="Annual",MOD(B72,12)=0),Input!$J$18,IF(AND(Input!$H$18="1st Installment",B72=1),Input!$J$18,IF(Input!$H$18="Monthly",Input!$J$18,""))),"")</f>
        <v/>
      </c>
      <c r="L72" s="6" t="str">
        <f>IF(B72&lt;&gt;"",IF(AND(Input!$H$19="Annual",MOD(B72,12)=0),Input!$J$19,IF(AND(Input!$H$19="1st Installment",B72=1),Input!$J$19,IF(Input!$H$19="Monthly",Input!$J$19,IF(AND(Input!$H$19="End of the loan",B72=Input!$E$22),Input!$J$19,"")))),"")</f>
        <v/>
      </c>
      <c r="M72" s="6" t="str">
        <f t="shared" si="9"/>
        <v/>
      </c>
      <c r="N72" s="4" t="str">
        <f t="shared" si="10"/>
        <v/>
      </c>
      <c r="R72" s="9" t="str">
        <f>IF(EDATE(Input!$E$25,Input!$E$22-1)&lt;=R71,"",EDATE(R71,1))</f>
        <v/>
      </c>
      <c r="S72" s="5" t="str">
        <f t="shared" si="6"/>
        <v xml:space="preserve"> </v>
      </c>
    </row>
    <row r="73" spans="2:19">
      <c r="B73" s="16" t="str">
        <f t="shared" si="7"/>
        <v/>
      </c>
      <c r="C73" s="9" t="str">
        <f t="shared" si="8"/>
        <v/>
      </c>
      <c r="D73" s="6" t="str">
        <f>IFERROR(IF(B73&lt;&gt;"",PPMT(Input!$E$18/12,B73,$C$6,Input!$E$17),"")," ")</f>
        <v/>
      </c>
      <c r="E73" s="6" t="str">
        <f>IFERROR(IPMT(Input!$E$18/12,B73,$C$6,Input!$E$17)," ")</f>
        <v xml:space="preserve"> </v>
      </c>
      <c r="F73" s="6" t="str">
        <f t="shared" si="11"/>
        <v/>
      </c>
      <c r="G73" s="6" t="str">
        <f t="shared" si="12"/>
        <v/>
      </c>
      <c r="H73" s="6" t="str">
        <f t="shared" si="4"/>
        <v xml:space="preserve"> </v>
      </c>
      <c r="I73" s="6" t="str">
        <f t="shared" si="13"/>
        <v/>
      </c>
      <c r="J73" s="6" t="str">
        <f>IF(B73&lt;&gt;"",IF(AND(Input!$H$17="Annual",MOD(B73,12)=0),Input!$J$17,IF(AND(Input!$H$17="1st Installment",B73=1),Input!$J$17,IF(Input!$H$17="Monthly",Input!$J$17,""))),"")</f>
        <v/>
      </c>
      <c r="K73" s="6" t="str">
        <f>IF(B73&lt;&gt;"",IF(AND(Input!$H$18="Annual",MOD(B73,12)=0),Input!$J$18,IF(AND(Input!$H$18="1st Installment",B73=1),Input!$J$18,IF(Input!$H$18="Monthly",Input!$J$18,""))),"")</f>
        <v/>
      </c>
      <c r="L73" s="6" t="str">
        <f>IF(B73&lt;&gt;"",IF(AND(Input!$H$19="Annual",MOD(B73,12)=0),Input!$J$19,IF(AND(Input!$H$19="1st Installment",B73=1),Input!$J$19,IF(Input!$H$19="Monthly",Input!$J$19,IF(AND(Input!$H$19="End of the loan",B73=Input!$E$22),Input!$J$19,"")))),"")</f>
        <v/>
      </c>
      <c r="M73" s="6" t="str">
        <f t="shared" si="9"/>
        <v/>
      </c>
      <c r="N73" s="4" t="str">
        <f t="shared" si="10"/>
        <v/>
      </c>
      <c r="R73" s="9" t="str">
        <f>IF(EDATE(Input!$E$25,Input!$E$22-1)&lt;=R72,"",EDATE(R72,1))</f>
        <v/>
      </c>
      <c r="S73" s="5" t="str">
        <f t="shared" si="6"/>
        <v xml:space="preserve"> </v>
      </c>
    </row>
    <row r="74" spans="2:19">
      <c r="B74" s="16" t="str">
        <f t="shared" si="7"/>
        <v/>
      </c>
      <c r="C74" s="9" t="str">
        <f t="shared" si="8"/>
        <v/>
      </c>
      <c r="D74" s="6" t="str">
        <f>IFERROR(IF(B74&lt;&gt;"",PPMT(Input!$E$18/12,B74,$C$6,Input!$E$17),"")," ")</f>
        <v/>
      </c>
      <c r="E74" s="6" t="str">
        <f>IFERROR(IPMT(Input!$E$18/12,B74,$C$6,Input!$E$17)," ")</f>
        <v xml:space="preserve"> </v>
      </c>
      <c r="F74" s="6" t="str">
        <f t="shared" si="11"/>
        <v/>
      </c>
      <c r="G74" s="6" t="str">
        <f t="shared" si="12"/>
        <v/>
      </c>
      <c r="H74" s="6" t="str">
        <f t="shared" si="4"/>
        <v xml:space="preserve"> </v>
      </c>
      <c r="I74" s="6" t="str">
        <f t="shared" si="13"/>
        <v/>
      </c>
      <c r="J74" s="6" t="str">
        <f>IF(B74&lt;&gt;"",IF(AND(Input!$H$17="Annual",MOD(B74,12)=0),Input!$J$17,IF(AND(Input!$H$17="1st Installment",B74=1),Input!$J$17,IF(Input!$H$17="Monthly",Input!$J$17,""))),"")</f>
        <v/>
      </c>
      <c r="K74" s="6" t="str">
        <f>IF(B74&lt;&gt;"",IF(AND(Input!$H$18="Annual",MOD(B74,12)=0),Input!$J$18,IF(AND(Input!$H$18="1st Installment",B74=1),Input!$J$18,IF(Input!$H$18="Monthly",Input!$J$18,""))),"")</f>
        <v/>
      </c>
      <c r="L74" s="6" t="str">
        <f>IF(B74&lt;&gt;"",IF(AND(Input!$H$19="Annual",MOD(B74,12)=0),Input!$J$19,IF(AND(Input!$H$19="1st Installment",B74=1),Input!$J$19,IF(Input!$H$19="Monthly",Input!$J$19,IF(AND(Input!$H$19="End of the loan",B74=Input!$E$22),Input!$J$19,"")))),"")</f>
        <v/>
      </c>
      <c r="M74" s="6" t="str">
        <f t="shared" si="9"/>
        <v/>
      </c>
      <c r="N74" s="4" t="str">
        <f t="shared" si="10"/>
        <v/>
      </c>
      <c r="R74" s="9" t="str">
        <f>IF(EDATE(Input!$E$25,Input!$E$22-1)&lt;=R73,"",EDATE(R73,1))</f>
        <v/>
      </c>
      <c r="S74" s="5" t="str">
        <f t="shared" si="6"/>
        <v xml:space="preserve"> </v>
      </c>
    </row>
    <row r="75" spans="2:19">
      <c r="B75" s="16" t="str">
        <f t="shared" si="7"/>
        <v/>
      </c>
      <c r="C75" s="9" t="str">
        <f t="shared" si="8"/>
        <v/>
      </c>
      <c r="D75" s="6" t="str">
        <f>IFERROR(IF(B75&lt;&gt;"",PPMT(Input!$E$18/12,B75,$C$6,Input!$E$17),"")," ")</f>
        <v/>
      </c>
      <c r="E75" s="6" t="str">
        <f>IFERROR(IPMT(Input!$E$18/12,B75,$C$6,Input!$E$17)," ")</f>
        <v xml:space="preserve"> </v>
      </c>
      <c r="F75" s="6" t="str">
        <f t="shared" si="11"/>
        <v/>
      </c>
      <c r="G75" s="6" t="str">
        <f t="shared" si="12"/>
        <v/>
      </c>
      <c r="H75" s="6" t="str">
        <f t="shared" si="4"/>
        <v xml:space="preserve"> </v>
      </c>
      <c r="I75" s="6" t="str">
        <f t="shared" si="13"/>
        <v/>
      </c>
      <c r="J75" s="6" t="str">
        <f>IF(B75&lt;&gt;"",IF(AND(Input!$H$17="Annual",MOD(B75,12)=0),Input!$J$17,IF(AND(Input!$H$17="1st Installment",B75=1),Input!$J$17,IF(Input!$H$17="Monthly",Input!$J$17,""))),"")</f>
        <v/>
      </c>
      <c r="K75" s="6" t="str">
        <f>IF(B75&lt;&gt;"",IF(AND(Input!$H$18="Annual",MOD(B75,12)=0),Input!$J$18,IF(AND(Input!$H$18="1st Installment",B75=1),Input!$J$18,IF(Input!$H$18="Monthly",Input!$J$18,""))),"")</f>
        <v/>
      </c>
      <c r="L75" s="6" t="str">
        <f>IF(B75&lt;&gt;"",IF(AND(Input!$H$19="Annual",MOD(B75,12)=0),Input!$J$19,IF(AND(Input!$H$19="1st Installment",B75=1),Input!$J$19,IF(Input!$H$19="Monthly",Input!$J$19,IF(AND(Input!$H$19="End of the loan",B75=Input!$E$22),Input!$J$19,"")))),"")</f>
        <v/>
      </c>
      <c r="M75" s="6" t="str">
        <f t="shared" si="9"/>
        <v/>
      </c>
      <c r="N75" s="4" t="str">
        <f t="shared" si="10"/>
        <v/>
      </c>
      <c r="R75" s="9" t="str">
        <f>IF(EDATE(Input!$E$25,Input!$E$22-1)&lt;=R74,"",EDATE(R74,1))</f>
        <v/>
      </c>
      <c r="S75" s="5" t="str">
        <f t="shared" si="6"/>
        <v xml:space="preserve"> </v>
      </c>
    </row>
    <row r="76" spans="2:19">
      <c r="B76" s="16" t="str">
        <f t="shared" si="7"/>
        <v/>
      </c>
      <c r="C76" s="9" t="str">
        <f t="shared" si="8"/>
        <v/>
      </c>
      <c r="D76" s="6" t="str">
        <f>IFERROR(IF(B76&lt;&gt;"",PPMT(Input!$E$18/12,B76,$C$6,Input!$E$17),"")," ")</f>
        <v/>
      </c>
      <c r="E76" s="6" t="str">
        <f>IFERROR(IPMT(Input!$E$18/12,B76,$C$6,Input!$E$17)," ")</f>
        <v xml:space="preserve"> </v>
      </c>
      <c r="F76" s="6" t="str">
        <f t="shared" si="11"/>
        <v/>
      </c>
      <c r="G76" s="6" t="str">
        <f t="shared" si="12"/>
        <v/>
      </c>
      <c r="H76" s="6" t="str">
        <f t="shared" si="4"/>
        <v xml:space="preserve"> </v>
      </c>
      <c r="I76" s="6" t="str">
        <f t="shared" si="13"/>
        <v/>
      </c>
      <c r="J76" s="6" t="str">
        <f>IF(B76&lt;&gt;"",IF(AND(Input!$H$17="Annual",MOD(B76,12)=0),Input!$J$17,IF(AND(Input!$H$17="1st Installment",B76=1),Input!$J$17,IF(Input!$H$17="Monthly",Input!$J$17,""))),"")</f>
        <v/>
      </c>
      <c r="K76" s="6" t="str">
        <f>IF(B76&lt;&gt;"",IF(AND(Input!$H$18="Annual",MOD(B76,12)=0),Input!$J$18,IF(AND(Input!$H$18="1st Installment",B76=1),Input!$J$18,IF(Input!$H$18="Monthly",Input!$J$18,""))),"")</f>
        <v/>
      </c>
      <c r="L76" s="6" t="str">
        <f>IF(B76&lt;&gt;"",IF(AND(Input!$H$19="Annual",MOD(B76,12)=0),Input!$J$19,IF(AND(Input!$H$19="1st Installment",B76=1),Input!$J$19,IF(Input!$H$19="Monthly",Input!$J$19,IF(AND(Input!$H$19="End of the loan",B76=Input!$E$22),Input!$J$19,"")))),"")</f>
        <v/>
      </c>
      <c r="M76" s="6" t="str">
        <f t="shared" si="9"/>
        <v/>
      </c>
      <c r="N76" s="4" t="str">
        <f t="shared" si="10"/>
        <v/>
      </c>
      <c r="R76" s="9" t="str">
        <f>IF(EDATE(Input!$E$25,Input!$E$22-1)&lt;=R75,"",EDATE(R75,1))</f>
        <v/>
      </c>
      <c r="S76" s="5" t="str">
        <f t="shared" si="6"/>
        <v xml:space="preserve"> </v>
      </c>
    </row>
    <row r="77" spans="2:19">
      <c r="B77" s="16" t="str">
        <f t="shared" si="7"/>
        <v/>
      </c>
      <c r="C77" s="9" t="str">
        <f t="shared" si="8"/>
        <v/>
      </c>
      <c r="D77" s="6" t="str">
        <f>IFERROR(IF(B77&lt;&gt;"",PPMT(Input!$E$18/12,B77,$C$6,Input!$E$17),"")," ")</f>
        <v/>
      </c>
      <c r="E77" s="6" t="str">
        <f>IFERROR(IPMT(Input!$E$18/12,B77,$C$6,Input!$E$17)," ")</f>
        <v xml:space="preserve"> </v>
      </c>
      <c r="F77" s="6" t="str">
        <f t="shared" si="11"/>
        <v/>
      </c>
      <c r="G77" s="6" t="str">
        <f t="shared" si="12"/>
        <v/>
      </c>
      <c r="H77" s="6" t="str">
        <f t="shared" si="4"/>
        <v xml:space="preserve"> </v>
      </c>
      <c r="I77" s="6" t="str">
        <f t="shared" si="13"/>
        <v/>
      </c>
      <c r="J77" s="6" t="str">
        <f>IF(B77&lt;&gt;"",IF(AND(Input!$H$17="Annual",MOD(B77,12)=0),Input!$J$17,IF(AND(Input!$H$17="1st Installment",B77=1),Input!$J$17,IF(Input!$H$17="Monthly",Input!$J$17,""))),"")</f>
        <v/>
      </c>
      <c r="K77" s="6" t="str">
        <f>IF(B77&lt;&gt;"",IF(AND(Input!$H$18="Annual",MOD(B77,12)=0),Input!$J$18,IF(AND(Input!$H$18="1st Installment",B77=1),Input!$J$18,IF(Input!$H$18="Monthly",Input!$J$18,""))),"")</f>
        <v/>
      </c>
      <c r="L77" s="6" t="str">
        <f>IF(B77&lt;&gt;"",IF(AND(Input!$H$19="Annual",MOD(B77,12)=0),Input!$J$19,IF(AND(Input!$H$19="1st Installment",B77=1),Input!$J$19,IF(Input!$H$19="Monthly",Input!$J$19,IF(AND(Input!$H$19="End of the loan",B77=Input!$E$22),Input!$J$19,"")))),"")</f>
        <v/>
      </c>
      <c r="M77" s="6" t="str">
        <f t="shared" si="9"/>
        <v/>
      </c>
      <c r="N77" s="4" t="str">
        <f t="shared" si="10"/>
        <v/>
      </c>
      <c r="R77" s="9" t="str">
        <f>IF(EDATE(Input!$E$25,Input!$E$22-1)&lt;=R76,"",EDATE(R76,1))</f>
        <v/>
      </c>
      <c r="S77" s="5" t="str">
        <f t="shared" si="6"/>
        <v xml:space="preserve"> </v>
      </c>
    </row>
    <row r="78" spans="2:19">
      <c r="B78" s="16" t="str">
        <f t="shared" si="7"/>
        <v/>
      </c>
      <c r="C78" s="9" t="str">
        <f t="shared" ref="C78:C80" si="14">IF(B78="","",EDATE(C77,1))</f>
        <v/>
      </c>
      <c r="D78" s="6" t="str">
        <f>IFERROR(IF(B78&lt;&gt;"",PPMT(Input!$E$18/12,B78,$C$6,Input!$E$17),"")," ")</f>
        <v/>
      </c>
      <c r="E78" s="6" t="str">
        <f>IFERROR(IPMT(Input!$E$18/12,B78,$C$6,Input!$E$17)," ")</f>
        <v xml:space="preserve"> </v>
      </c>
      <c r="F78" s="6" t="str">
        <f t="shared" ref="F78:F80" si="15">IF(B78&lt;&gt;"",F77+D78,"")</f>
        <v/>
      </c>
      <c r="G78" s="6" t="str">
        <f t="shared" ref="G78:G80" si="16">IF(B78&lt;&gt;"",G77+E78,"")</f>
        <v/>
      </c>
      <c r="H78" s="6" t="str">
        <f t="shared" si="4"/>
        <v xml:space="preserve"> </v>
      </c>
      <c r="I78" s="6" t="str">
        <f t="shared" ref="I78:I80" si="17">IF(B78&lt;&gt;"",I77+D78,"")</f>
        <v/>
      </c>
      <c r="J78" s="6" t="str">
        <f>IF(B78&lt;&gt;"",IF(AND(Input!$H$17="Annual",MOD(B78,12)=0),Input!$J$17,IF(AND(Input!$H$17="1st Installment",B78=1),Input!$J$17,IF(Input!$H$17="Monthly",Input!$J$17,""))),"")</f>
        <v/>
      </c>
      <c r="K78" s="6" t="str">
        <f>IF(B78&lt;&gt;"",IF(AND(Input!$H$18="Annual",MOD(B78,12)=0),Input!$J$18,IF(AND(Input!$H$18="1st Installment",B78=1),Input!$J$18,IF(Input!$H$18="Monthly",Input!$J$18,""))),"")</f>
        <v/>
      </c>
      <c r="L78" s="6" t="str">
        <f>IF(B78&lt;&gt;"",IF(AND(Input!$H$19="Annual",MOD(B78,12)=0),Input!$J$19,IF(AND(Input!$H$19="1st Installment",B78=1),Input!$J$19,IF(Input!$H$19="Monthly",Input!$J$19,IF(AND(Input!$H$19="End of the loan",B78=Input!$E$22),Input!$J$19,"")))),"")</f>
        <v/>
      </c>
      <c r="M78" s="6" t="str">
        <f t="shared" ref="M78:M80" si="18">IF(B78&lt;&gt;"",SUM(J78:L78),"")</f>
        <v/>
      </c>
      <c r="N78" s="4" t="str">
        <f t="shared" ref="N78:N80" si="19">IF(B78&lt;&gt;"",(-H78+M78),"")</f>
        <v/>
      </c>
      <c r="R78" s="9" t="str">
        <f>IF(EDATE(Input!$E$25,Input!$E$22-1)&lt;=R77,"",EDATE(R77,1))</f>
        <v/>
      </c>
      <c r="S78" s="5" t="str">
        <f t="shared" si="6"/>
        <v xml:space="preserve"> </v>
      </c>
    </row>
    <row r="79" spans="2:19">
      <c r="B79" s="16" t="str">
        <f t="shared" si="7"/>
        <v/>
      </c>
      <c r="C79" s="9" t="str">
        <f t="shared" si="14"/>
        <v/>
      </c>
      <c r="D79" s="6" t="str">
        <f>IFERROR(IF(B79&lt;&gt;"",PPMT(Input!$E$18/12,B79,$C$6,Input!$E$17),"")," ")</f>
        <v/>
      </c>
      <c r="E79" s="6" t="str">
        <f>IFERROR(IPMT(Input!$E$18/12,B79,$C$6,Input!$E$17)," ")</f>
        <v xml:space="preserve"> </v>
      </c>
      <c r="F79" s="6" t="str">
        <f t="shared" si="15"/>
        <v/>
      </c>
      <c r="G79" s="6" t="str">
        <f t="shared" si="16"/>
        <v/>
      </c>
      <c r="H79" s="6" t="str">
        <f t="shared" si="4"/>
        <v xml:space="preserve"> </v>
      </c>
      <c r="I79" s="6" t="str">
        <f t="shared" si="17"/>
        <v/>
      </c>
      <c r="J79" s="6" t="str">
        <f>IF(B79&lt;&gt;"",IF(AND(Input!$H$17="Annual",MOD(B79,12)=0),Input!$J$17,IF(AND(Input!$H$17="1st Installment",B79=1),Input!$J$17,IF(Input!$H$17="Monthly",Input!$J$17,""))),"")</f>
        <v/>
      </c>
      <c r="K79" s="6" t="str">
        <f>IF(B79&lt;&gt;"",IF(AND(Input!$H$18="Annual",MOD(B79,12)=0),Input!$J$18,IF(AND(Input!$H$18="1st Installment",B79=1),Input!$J$18,IF(Input!$H$18="Monthly",Input!$J$18,""))),"")</f>
        <v/>
      </c>
      <c r="L79" s="6" t="str">
        <f>IF(B79&lt;&gt;"",IF(AND(Input!$H$19="Annual",MOD(B79,12)=0),Input!$J$19,IF(AND(Input!$H$19="1st Installment",B79=1),Input!$J$19,IF(Input!$H$19="Monthly",Input!$J$19,IF(AND(Input!$H$19="End of the loan",B79=Input!$E$22),Input!$J$19,"")))),"")</f>
        <v/>
      </c>
      <c r="M79" s="6" t="str">
        <f t="shared" si="18"/>
        <v/>
      </c>
      <c r="N79" s="4" t="str">
        <f t="shared" si="19"/>
        <v/>
      </c>
      <c r="R79" s="9" t="str">
        <f>IF(EDATE(Input!$E$25,Input!$E$22-1)&lt;=R78,"",EDATE(R78,1))</f>
        <v/>
      </c>
      <c r="S79" s="5" t="str">
        <f t="shared" si="6"/>
        <v xml:space="preserve"> </v>
      </c>
    </row>
    <row r="80" spans="2:19">
      <c r="B80" s="16" t="str">
        <f t="shared" si="7"/>
        <v/>
      </c>
      <c r="C80" s="9" t="str">
        <f t="shared" si="14"/>
        <v/>
      </c>
      <c r="D80" s="6" t="str">
        <f>IFERROR(IF(B80&lt;&gt;"",PPMT(Input!$E$18/12,B80,$C$6,Input!$E$17),"")," ")</f>
        <v/>
      </c>
      <c r="E80" s="6" t="str">
        <f>IFERROR(IPMT(Input!$E$18/12,B80,$C$6,Input!$E$17)," ")</f>
        <v xml:space="preserve"> </v>
      </c>
      <c r="F80" s="6" t="str">
        <f t="shared" si="15"/>
        <v/>
      </c>
      <c r="G80" s="6" t="str">
        <f t="shared" si="16"/>
        <v/>
      </c>
      <c r="H80" s="6" t="str">
        <f t="shared" si="4"/>
        <v xml:space="preserve"> </v>
      </c>
      <c r="I80" s="6" t="str">
        <f t="shared" si="17"/>
        <v/>
      </c>
      <c r="J80" s="6" t="str">
        <f>IF(B80&lt;&gt;"",IF(AND(Input!$H$17="Annual",MOD(B80,12)=0),Input!$J$17,IF(AND(Input!$H$17="1st Installment",B80=1),Input!$J$17,IF(Input!$H$17="Monthly",Input!$J$17,""))),"")</f>
        <v/>
      </c>
      <c r="K80" s="6" t="str">
        <f>IF(B80&lt;&gt;"",IF(AND(Input!$H$18="Annual",MOD(B80,12)=0),Input!$J$18,IF(AND(Input!$H$18="1st Installment",B80=1),Input!$J$18,IF(Input!$H$18="Monthly",Input!$J$18,""))),"")</f>
        <v/>
      </c>
      <c r="L80" s="6" t="str">
        <f>IF(B80&lt;&gt;"",IF(AND(Input!$H$19="Annual",MOD(B80,12)=0),Input!$J$19,IF(AND(Input!$H$19="1st Installment",B80=1),Input!$J$19,IF(Input!$H$19="Monthly",Input!$J$19,IF(AND(Input!$H$19="End of the loan",B80=Input!$E$22),Input!$J$19,"")))),"")</f>
        <v/>
      </c>
      <c r="M80" s="6" t="str">
        <f t="shared" si="18"/>
        <v/>
      </c>
      <c r="N80" s="4" t="str">
        <f t="shared" si="19"/>
        <v/>
      </c>
      <c r="R80" s="9" t="str">
        <f>IF(EDATE(Input!$E$25,Input!$E$22-1)&lt;=R79,"",EDATE(R79,1))</f>
        <v/>
      </c>
      <c r="S80" s="5" t="str">
        <f t="shared" si="6"/>
        <v xml:space="preserve"> </v>
      </c>
    </row>
  </sheetData>
  <sheetProtection algorithmName="SHA-512" hashValue="ey+gxtjQ+ESBPlE2/MjBDN4k8zalfmMZy2DEnm0mZkenNHjUloIl3CdCS5WcWNo49GkbX6iu7w7LhS8jAYYPtg==" saltValue="6v85yfGTJkRlieDi8nUFHA==" spinCount="100000" sheet="1" objects="1" scenarios="1"/>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3"/>
  <sheetViews>
    <sheetView showGridLines="0" topLeftCell="B1" zoomScaleNormal="100" workbookViewId="0">
      <selection activeCell="D20" sqref="D20"/>
    </sheetView>
  </sheetViews>
  <sheetFormatPr defaultColWidth="8.90625" defaultRowHeight="11.5"/>
  <cols>
    <col min="1" max="1" width="8.90625" style="1" hidden="1" customWidth="1"/>
    <col min="2" max="7" width="24.36328125" style="1" customWidth="1"/>
    <col min="8" max="8" width="29.08984375" style="1" bestFit="1" customWidth="1"/>
    <col min="9" max="14" width="24.36328125" style="1" customWidth="1"/>
    <col min="15" max="15" width="17.36328125" style="1" bestFit="1" customWidth="1"/>
    <col min="16" max="16" width="11" style="1" bestFit="1" customWidth="1"/>
    <col min="17" max="17" width="12" style="1" bestFit="1" customWidth="1"/>
    <col min="18" max="18" width="8.90625" style="1"/>
    <col min="19" max="19" width="10.453125" style="1" bestFit="1" customWidth="1"/>
    <col min="20" max="20" width="11.6328125" style="1" bestFit="1" customWidth="1"/>
    <col min="21" max="21" width="8.90625" style="1" customWidth="1"/>
    <col min="22" max="23" width="8.90625" style="1" hidden="1" customWidth="1"/>
    <col min="24" max="16384" width="8.90625" style="1"/>
  </cols>
  <sheetData>
    <row r="1" spans="2:24">
      <c r="V1" s="1">
        <f>ROW(S17)</f>
        <v>17</v>
      </c>
      <c r="W1" s="1">
        <f>ROW(T17)</f>
        <v>17</v>
      </c>
    </row>
    <row r="2" spans="2:24" ht="17" customHeight="1">
      <c r="B2" s="172" t="s">
        <v>14</v>
      </c>
      <c r="C2" s="172"/>
      <c r="D2" s="172"/>
      <c r="E2" s="172"/>
      <c r="F2" s="172"/>
      <c r="G2" s="172"/>
      <c r="H2" s="172"/>
      <c r="I2" s="172"/>
      <c r="J2" s="172"/>
      <c r="K2" s="172"/>
      <c r="L2" s="172"/>
      <c r="M2" s="172"/>
      <c r="N2" s="172"/>
      <c r="O2" s="172"/>
      <c r="V2" s="1">
        <f>COLUMN(S17)</f>
        <v>19</v>
      </c>
      <c r="W2" s="1">
        <f>COLUMN(T17)</f>
        <v>20</v>
      </c>
    </row>
    <row r="3" spans="2:24">
      <c r="W3" s="50">
        <f>COUNTIF(S17:S81,"&gt;0")-1</f>
        <v>61</v>
      </c>
    </row>
    <row r="4" spans="2:24">
      <c r="B4" s="170" t="s">
        <v>19</v>
      </c>
      <c r="C4" s="170"/>
      <c r="D4" s="170"/>
      <c r="E4" s="170"/>
      <c r="F4" s="170"/>
    </row>
    <row r="6" spans="2:24">
      <c r="B6" s="3" t="s">
        <v>17</v>
      </c>
      <c r="C6" s="3">
        <f>Input!E39</f>
        <v>60</v>
      </c>
      <c r="E6" s="17" t="s">
        <v>7</v>
      </c>
      <c r="F6" s="14">
        <f ca="1">XIRR(T17:INDIRECT(ADDRESS($W$1+$W$3,$W$2)),S17:INDIRECT(ADDRESS($V$1+$W$3,$V$2)))</f>
        <v>0.11783557534217834</v>
      </c>
    </row>
    <row r="8" spans="2:24">
      <c r="B8" s="3" t="s">
        <v>2</v>
      </c>
      <c r="C8" s="5">
        <f>Input!E34</f>
        <v>300000</v>
      </c>
    </row>
    <row r="9" spans="2:24">
      <c r="B9" s="3" t="s">
        <v>114</v>
      </c>
      <c r="C9" s="5">
        <f>-SUM(E18:E82)</f>
        <v>41333.991721195613</v>
      </c>
      <c r="D9" s="8"/>
      <c r="T9" s="109"/>
      <c r="X9" s="15"/>
    </row>
    <row r="10" spans="2:24">
      <c r="B10" s="3" t="s">
        <v>8</v>
      </c>
      <c r="C10" s="5">
        <f>SUM($N$17:$N$82)</f>
        <v>39225</v>
      </c>
      <c r="F10" s="106"/>
      <c r="X10" s="7"/>
    </row>
    <row r="11" spans="2:24">
      <c r="B11" s="3" t="s">
        <v>42</v>
      </c>
      <c r="C11" s="9">
        <f>EDATE(Input!E42,C6)</f>
        <v>46412</v>
      </c>
      <c r="X11" s="8"/>
    </row>
    <row r="13" spans="2:24">
      <c r="B13" s="3" t="s">
        <v>12</v>
      </c>
      <c r="C13" s="95">
        <f>Input!E46</f>
        <v>0</v>
      </c>
      <c r="H13" s="65"/>
      <c r="I13" s="2"/>
      <c r="P13" s="15"/>
    </row>
    <row r="14" spans="2:24">
      <c r="F14" s="12"/>
      <c r="H14" s="65"/>
      <c r="P14" s="7"/>
      <c r="Q14" s="8"/>
      <c r="R14" s="8"/>
    </row>
    <row r="15" spans="2:24">
      <c r="H15" s="173"/>
      <c r="I15" s="173"/>
      <c r="N15" s="12"/>
      <c r="S15" s="171" t="s">
        <v>39</v>
      </c>
      <c r="T15" s="171"/>
    </row>
    <row r="16" spans="2:24">
      <c r="B16" s="13" t="s">
        <v>3</v>
      </c>
      <c r="C16" s="13" t="s">
        <v>4</v>
      </c>
      <c r="D16" s="13" t="s">
        <v>5</v>
      </c>
      <c r="E16" s="13" t="s">
        <v>122</v>
      </c>
      <c r="F16" s="13" t="s">
        <v>10</v>
      </c>
      <c r="G16" s="13" t="s">
        <v>115</v>
      </c>
      <c r="H16" s="13" t="s">
        <v>6</v>
      </c>
      <c r="I16" s="13" t="s">
        <v>11</v>
      </c>
      <c r="J16" s="13" t="s">
        <v>32</v>
      </c>
      <c r="K16" s="13" t="s">
        <v>33</v>
      </c>
      <c r="L16" s="13" t="s">
        <v>34</v>
      </c>
      <c r="M16" s="13" t="s">
        <v>56</v>
      </c>
      <c r="N16" s="13" t="s">
        <v>15</v>
      </c>
      <c r="O16" s="13" t="s">
        <v>16</v>
      </c>
      <c r="S16" s="13" t="s">
        <v>40</v>
      </c>
      <c r="T16" s="13" t="s">
        <v>41</v>
      </c>
    </row>
    <row r="17" spans="1:24">
      <c r="B17" s="16">
        <v>0</v>
      </c>
      <c r="C17" s="9">
        <f>Input!E40</f>
        <v>44562</v>
      </c>
      <c r="D17" s="6">
        <v>0</v>
      </c>
      <c r="E17" s="6">
        <v>0</v>
      </c>
      <c r="F17" s="6">
        <v>0</v>
      </c>
      <c r="G17" s="6">
        <v>0</v>
      </c>
      <c r="H17" s="6">
        <v>0</v>
      </c>
      <c r="I17" s="6">
        <v>0</v>
      </c>
      <c r="J17" s="6">
        <f>IF(AND(Input!$H$34="Upfront Payment",B17=0),Input!$J$34,"")</f>
        <v>3000</v>
      </c>
      <c r="K17" s="6" t="str">
        <f>IF(AND(Input!$H$35="Upfront Payment",B17=0),Input!$J$35,"")</f>
        <v/>
      </c>
      <c r="L17" s="6" t="str">
        <f>IF(AND(Input!$H$36="Upfront Payment",B17=0),Input!$I$36,"")</f>
        <v/>
      </c>
      <c r="M17" s="6" t="str">
        <f>IF(AND(Input!$H$37="Upfront Payment",B17=0),Input!$J$37,"")</f>
        <v/>
      </c>
      <c r="N17" s="6">
        <f t="shared" ref="N17:N48" si="0">IF(B17&lt;&gt;"",SUM(J17:M17),"")</f>
        <v>3000</v>
      </c>
      <c r="O17" s="6">
        <f>IF(C17&lt;&gt;"",SUM(K17:N17)+H17,"")</f>
        <v>3000</v>
      </c>
      <c r="S17" s="9">
        <f>C17</f>
        <v>44562</v>
      </c>
      <c r="T17" s="5">
        <f>-(C8-O17)</f>
        <v>-297000</v>
      </c>
      <c r="U17" s="136"/>
      <c r="V17" s="104"/>
      <c r="W17" s="103"/>
      <c r="X17" s="8"/>
    </row>
    <row r="18" spans="1:24">
      <c r="A18" s="1">
        <f>IF(B18&lt;&gt;"",1,"")</f>
        <v>1</v>
      </c>
      <c r="B18" s="16">
        <v>1</v>
      </c>
      <c r="C18" s="9">
        <f>Input!E42</f>
        <v>44586</v>
      </c>
      <c r="D18" s="6">
        <f>IFERROR((PPMT(Input!$E$35/12,B18,$C$6,Input!$E$34,-$C$13,0))," ")</f>
        <v>-4388.8998620199272</v>
      </c>
      <c r="E18" s="6">
        <f>IFERROR(IPMT(Input!$E$35/12,B18,$C$6,Input!$E$34,-$C$13,0)," ")</f>
        <v>-1300</v>
      </c>
      <c r="F18" s="6">
        <f>D18</f>
        <v>-4388.8998620199272</v>
      </c>
      <c r="G18" s="6">
        <f>E18</f>
        <v>-1300</v>
      </c>
      <c r="H18" s="6">
        <f>(IF(B18=$C$6+1,-$C$13,IFERROR(D18+E18,"")))</f>
        <v>-5688.8998620199272</v>
      </c>
      <c r="I18" s="6">
        <f>+IFERROR($C$8+F18,"")</f>
        <v>295611.10013798007</v>
      </c>
      <c r="J18" s="6" t="str">
        <f>IF(B18&lt;&gt;"",IF(AND(Input!$H$34="Annual",MOD(B18,12)=0),Input!$J$34,IF(AND(Input!$H$34="1st Installment",B18=1),Input!$J$34,IF(Input!$H$34="Monthly",Input!$J$34,""))),"")</f>
        <v/>
      </c>
      <c r="K18" s="6" t="str">
        <f>IF(B18&lt;&gt;"",IF(AND(Input!$H$35="Annual",MOD(B18,12)=0),Input!$J$35,IF(AND(Input!$H$35="1st Installment",B18=1),Input!$J$35,IF(Input!$H$35="Monthly",Input!$J$35,""))),"")</f>
        <v/>
      </c>
      <c r="L18" s="6">
        <f>IF(B18&lt;=$C$6,(_xlfn.IFNA(IF(AND(Input!$H$36="1st Installment",B18=1),Input!$I$36,IF(Input!$H$36="Monthly",VLOOKUP(A18,Input!$G$41:$L$46,6,0),IF(Input!$H$36="Annual",VLOOKUP('Auto Finance'!B18,Input!$K$41:$L$46,2,0),""))),""))," ")</f>
        <v>36225</v>
      </c>
      <c r="M18" s="6">
        <f>IF(B18&lt;&gt;"",IF(AND(Input!$H$37="Annual",MOD(B18,12)=0),Input!$J$37,IF(AND(Input!$H$37="1st Installment",B18=1),Input!$J$37,IF(Input!$H$37="Monthly",Input!$J$37,IF(AND(Input!$H$37="End of the loan",B18=Input!$E$39),Input!$J$37,"")))),"")</f>
        <v>0</v>
      </c>
      <c r="N18" s="6">
        <f t="shared" si="0"/>
        <v>36225</v>
      </c>
      <c r="O18" s="4">
        <f t="shared" ref="O18:O73" si="1">IF(B18&lt;&gt;"",(-H18+N18),"")</f>
        <v>41913.899862019927</v>
      </c>
      <c r="S18" s="9">
        <f t="shared" ref="S18:S73" si="2">C18</f>
        <v>44586</v>
      </c>
      <c r="T18" s="5">
        <f>IFERROR(ROUND((_xlfn.IFNA(VLOOKUP(S18,$C$18:$O$82,13,0),0)),2)," ")</f>
        <v>41913.9</v>
      </c>
      <c r="U18" s="136"/>
      <c r="V18" s="105"/>
      <c r="W18" s="96"/>
    </row>
    <row r="19" spans="1:24">
      <c r="A19" s="1">
        <f t="shared" ref="A19:A29" si="3">IF(B19&lt;&gt;"",1,"")</f>
        <v>1</v>
      </c>
      <c r="B19" s="16">
        <f>IF(B18="","",IF((B18+1)&lt;=$C$6+1,B18+1,""))</f>
        <v>2</v>
      </c>
      <c r="C19" s="9">
        <f t="shared" ref="C19:C52" si="4">IF(B19="","",EDATE(C18,1))</f>
        <v>44617</v>
      </c>
      <c r="D19" s="6">
        <f>IFERROR(PPMT(Input!$E$35/12,B19,$C$6,Input!$E$34,-$C$13,0)," ")</f>
        <v>-4407.9184280886802</v>
      </c>
      <c r="E19" s="6">
        <f>IFERROR(IPMT(Input!$E$35/12,B19,$C$6,Input!$E$34,-$C$13,0)," ")</f>
        <v>-1280.9814339312468</v>
      </c>
      <c r="F19" s="6">
        <f>IF(B19&lt;=$C$6,F18+D19,"")</f>
        <v>-8796.8182901086075</v>
      </c>
      <c r="G19" s="6">
        <f>IF(B19&lt;=$C$6,G18+E19,"")</f>
        <v>-2580.981433931247</v>
      </c>
      <c r="H19" s="6">
        <f t="shared" ref="H19:H82" si="5">(IF(B19=$C$6+1,-$C$13,IFERROR(D19+E19,"")))</f>
        <v>-5688.8998620199272</v>
      </c>
      <c r="I19" s="6">
        <f t="shared" ref="I19:I73" si="6">+IFERROR($C$8+F19,"")</f>
        <v>291203.18170989142</v>
      </c>
      <c r="J19" s="6" t="str">
        <f>IF(B19&lt;&gt;"",IF(AND(Input!$H$34="Annual",MOD(B19,12)=0),Input!$J$34,IF(AND(Input!$H$34="1st Installment",B19=1),Input!$J$34,IF(Input!$H$34="Monthly",Input!$J$34,""))),"")</f>
        <v/>
      </c>
      <c r="K19" s="6" t="str">
        <f>IF(B19&lt;&gt;"",IF(AND(Input!$H$35="Annual",MOD(B19,12)=0),Input!$J$35,IF(AND(Input!$H$35="1st Installment",B19=1),Input!$J$35,IF(Input!$H$35="Monthly",Input!$J$35,""))),"")</f>
        <v/>
      </c>
      <c r="L19" s="6" t="str">
        <f>IF(B19&lt;=$C$6,(_xlfn.IFNA(IF(AND(Input!$H$36="1st Installment",B19=1),Input!$I$36,IF(Input!$H$36="Monthly",VLOOKUP(A19,Input!$G$41:$L$46,6,0),IF(Input!$H$36="Annual",VLOOKUP('Auto Finance'!B19,Input!$K$41:$L$46,2,0),""))),""))," ")</f>
        <v/>
      </c>
      <c r="M19" s="6" t="str">
        <f>IF(B19&lt;&gt;"",IF(AND(Input!$H$37="Annual",MOD(B19,12)=0),Input!$J$37,IF(AND(Input!$H$37="1st Installment",B19=1),Input!$J$37,IF(Input!$H$37="Monthly",Input!$J$37,IF(AND(Input!$H$37="End of the loan",B19=Input!$E$39),Input!$J$37,"")))),"")</f>
        <v/>
      </c>
      <c r="N19" s="6">
        <f t="shared" si="0"/>
        <v>0</v>
      </c>
      <c r="O19" s="4">
        <f t="shared" si="1"/>
        <v>5688.8998620199272</v>
      </c>
      <c r="S19" s="9">
        <f t="shared" si="2"/>
        <v>44617</v>
      </c>
      <c r="T19" s="5">
        <f t="shared" ref="T19:T82" si="7">IFERROR(ROUND((_xlfn.IFNA(VLOOKUP(S19,$C$18:$O$82,13,0),0)),2)," ")</f>
        <v>5688.9</v>
      </c>
      <c r="U19" s="136"/>
      <c r="V19" s="105"/>
      <c r="W19" s="96"/>
    </row>
    <row r="20" spans="1:24">
      <c r="A20" s="1">
        <f t="shared" si="3"/>
        <v>1</v>
      </c>
      <c r="B20" s="16">
        <f t="shared" ref="B20:B73" si="8">IF(B19="","",IF((B19+1)&lt;=$C$6+1,B19+1,""))</f>
        <v>3</v>
      </c>
      <c r="C20" s="9">
        <f t="shared" si="4"/>
        <v>44645</v>
      </c>
      <c r="D20" s="6">
        <f>IFERROR(PPMT(Input!$E$35/12,B20,$C$6,Input!$E$34,-$C$13,0)," ")</f>
        <v>-4427.0194079437315</v>
      </c>
      <c r="E20" s="6">
        <f>IFERROR(IPMT(Input!$E$35/12,B20,$C$6,Input!$E$34,-$C$13,0)," ")</f>
        <v>-1261.880454076196</v>
      </c>
      <c r="F20" s="6">
        <f t="shared" ref="F20:F73" si="9">IF(B20&lt;=$C$6,F19+D20,"")</f>
        <v>-13223.837698052339</v>
      </c>
      <c r="G20" s="6">
        <f t="shared" ref="G20:G73" si="10">IF(B20&lt;=$C$6,G19+E20,"")</f>
        <v>-3842.8618880074428</v>
      </c>
      <c r="H20" s="6">
        <f t="shared" si="5"/>
        <v>-5688.8998620199272</v>
      </c>
      <c r="I20" s="6">
        <f t="shared" si="6"/>
        <v>286776.16230194765</v>
      </c>
      <c r="J20" s="6" t="str">
        <f>IF(B20&lt;&gt;"",IF(AND(Input!$H$34="Annual",MOD(B20,12)=0),Input!$J$34,IF(AND(Input!$H$34="1st Installment",B20=1),Input!$J$34,IF(Input!$H$34="Monthly",Input!$J$34,""))),"")</f>
        <v/>
      </c>
      <c r="K20" s="6" t="str">
        <f>IF(B20&lt;&gt;"",IF(AND(Input!$H$35="Annual",MOD(B20,12)=0),Input!$J$35,IF(AND(Input!$H$35="1st Installment",B20=1),Input!$J$35,IF(Input!$H$35="Monthly",Input!$J$35,""))),"")</f>
        <v/>
      </c>
      <c r="L20" s="6" t="str">
        <f>IF(B20&lt;=$C$6,(_xlfn.IFNA(IF(AND(Input!$H$36="1st Installment",B20=1),Input!$I$36,IF(Input!$H$36="Monthly",VLOOKUP(A20,Input!$G$41:$L$46,6,0),IF(Input!$H$36="Annual",VLOOKUP('Auto Finance'!B20,Input!$K$41:$L$46,2,0),""))),""))," ")</f>
        <v/>
      </c>
      <c r="M20" s="6" t="str">
        <f>IF(B20&lt;&gt;"",IF(AND(Input!$H$37="Annual",MOD(B20,12)=0),Input!$J$37,IF(AND(Input!$H$37="1st Installment",B20=1),Input!$J$37,IF(Input!$H$37="Monthly",Input!$J$37,IF(AND(Input!$H$37="End of the loan",B20=Input!$E$39),Input!$J$37,"")))),"")</f>
        <v/>
      </c>
      <c r="N20" s="6">
        <f t="shared" si="0"/>
        <v>0</v>
      </c>
      <c r="O20" s="4">
        <f t="shared" si="1"/>
        <v>5688.8998620199272</v>
      </c>
      <c r="S20" s="9">
        <f t="shared" si="2"/>
        <v>44645</v>
      </c>
      <c r="T20" s="5">
        <f t="shared" si="7"/>
        <v>5688.9</v>
      </c>
      <c r="U20" s="136"/>
      <c r="V20" s="105"/>
      <c r="W20" s="96"/>
    </row>
    <row r="21" spans="1:24">
      <c r="A21" s="1">
        <f t="shared" si="3"/>
        <v>1</v>
      </c>
      <c r="B21" s="16">
        <f t="shared" si="8"/>
        <v>4</v>
      </c>
      <c r="C21" s="9">
        <f t="shared" si="4"/>
        <v>44676</v>
      </c>
      <c r="D21" s="6">
        <f>IFERROR(PPMT(Input!$E$35/12,B21,$C$6,Input!$E$34,-$C$13,0)," ")</f>
        <v>-4446.203158711487</v>
      </c>
      <c r="E21" s="6">
        <f>IFERROR(IPMT(Input!$E$35/12,B21,$C$6,Input!$E$34,-$C$13,0)," ")</f>
        <v>-1242.6967033084397</v>
      </c>
      <c r="F21" s="6">
        <f t="shared" si="9"/>
        <v>-17670.040856763826</v>
      </c>
      <c r="G21" s="6">
        <f t="shared" si="10"/>
        <v>-5085.5585913158829</v>
      </c>
      <c r="H21" s="6">
        <f t="shared" si="5"/>
        <v>-5688.8998620199272</v>
      </c>
      <c r="I21" s="6">
        <f t="shared" si="6"/>
        <v>282329.95914323616</v>
      </c>
      <c r="J21" s="6" t="str">
        <f>IF(B21&lt;&gt;"",IF(AND(Input!$H$34="Annual",MOD(B21,12)=0),Input!$J$34,IF(AND(Input!$H$34="1st Installment",B21=1),Input!$J$34,IF(Input!$H$34="Monthly",Input!$J$34,""))),"")</f>
        <v/>
      </c>
      <c r="K21" s="6" t="str">
        <f>IF(B21&lt;&gt;"",IF(AND(Input!$H$35="Annual",MOD(B21,12)=0),Input!$J$35,IF(AND(Input!$H$35="1st Installment",B21=1),Input!$J$35,IF(Input!$H$35="Monthly",Input!$J$35,""))),"")</f>
        <v/>
      </c>
      <c r="L21" s="6" t="str">
        <f>IF(B21&lt;=$C$6,(_xlfn.IFNA(IF(AND(Input!$H$36="1st Installment",B21=1),Input!$I$36,IF(Input!$H$36="Monthly",VLOOKUP(A21,Input!$G$41:$L$46,6,0),IF(Input!$H$36="Annual",VLOOKUP('Auto Finance'!B21,Input!$K$41:$L$46,2,0),""))),""))," ")</f>
        <v/>
      </c>
      <c r="M21" s="6" t="str">
        <f>IF(B21&lt;&gt;"",IF(AND(Input!$H$37="Annual",MOD(B21,12)=0),Input!$J$37,IF(AND(Input!$H$37="1st Installment",B21=1),Input!$J$37,IF(Input!$H$37="Monthly",Input!$J$37,IF(AND(Input!$H$37="End of the loan",B21=Input!$E$39),Input!$J$37,"")))),"")</f>
        <v/>
      </c>
      <c r="N21" s="6">
        <f t="shared" si="0"/>
        <v>0</v>
      </c>
      <c r="O21" s="4">
        <f t="shared" si="1"/>
        <v>5688.8998620199272</v>
      </c>
      <c r="S21" s="9">
        <f t="shared" si="2"/>
        <v>44676</v>
      </c>
      <c r="T21" s="5">
        <f t="shared" si="7"/>
        <v>5688.9</v>
      </c>
      <c r="U21" s="136"/>
      <c r="V21" s="105"/>
      <c r="W21" s="96"/>
    </row>
    <row r="22" spans="1:24">
      <c r="A22" s="1">
        <f t="shared" si="3"/>
        <v>1</v>
      </c>
      <c r="B22" s="16">
        <f t="shared" si="8"/>
        <v>5</v>
      </c>
      <c r="C22" s="9">
        <f t="shared" si="4"/>
        <v>44706</v>
      </c>
      <c r="D22" s="6">
        <f>IFERROR(PPMT(Input!$E$35/12,B22,$C$6,Input!$E$34,-$C$13,0)," ")</f>
        <v>-4465.4700390659036</v>
      </c>
      <c r="E22" s="6">
        <f>IFERROR(IPMT(Input!$E$35/12,B22,$C$6,Input!$E$34,-$C$13,0)," ")</f>
        <v>-1223.4298229540234</v>
      </c>
      <c r="F22" s="6">
        <f t="shared" si="9"/>
        <v>-22135.510895829728</v>
      </c>
      <c r="G22" s="6">
        <f t="shared" si="10"/>
        <v>-6308.9884142699066</v>
      </c>
      <c r="H22" s="6">
        <f t="shared" si="5"/>
        <v>-5688.8998620199272</v>
      </c>
      <c r="I22" s="6">
        <f t="shared" si="6"/>
        <v>277864.48910417029</v>
      </c>
      <c r="J22" s="6" t="str">
        <f>IF(B22&lt;&gt;"",IF(AND(Input!$H$34="Annual",MOD(B22,12)=0),Input!$J$34,IF(AND(Input!$H$34="1st Installment",B22=1),Input!$J$34,IF(Input!$H$34="Monthly",Input!$J$34,""))),"")</f>
        <v/>
      </c>
      <c r="K22" s="6" t="str">
        <f>IF(B22&lt;&gt;"",IF(AND(Input!$H$35="Annual",MOD(B22,12)=0),Input!$J$35,IF(AND(Input!$H$35="1st Installment",B22=1),Input!$J$35,IF(Input!$H$35="Monthly",Input!$J$35,""))),"")</f>
        <v/>
      </c>
      <c r="L22" s="6" t="str">
        <f>IF(B22&lt;=$C$6,(_xlfn.IFNA(IF(AND(Input!$H$36="1st Installment",B22=1),Input!$I$36,IF(Input!$H$36="Monthly",VLOOKUP(A22,Input!$G$41:$L$46,6,0),IF(Input!$H$36="Annual",VLOOKUP('Auto Finance'!B22,Input!$K$41:$L$46,2,0),""))),""))," ")</f>
        <v/>
      </c>
      <c r="M22" s="6" t="str">
        <f>IF(B22&lt;&gt;"",IF(AND(Input!$H$37="Annual",MOD(B22,12)=0),Input!$J$37,IF(AND(Input!$H$37="1st Installment",B22=1),Input!$J$37,IF(Input!$H$37="Monthly",Input!$J$37,IF(AND(Input!$H$37="End of the loan",B22=Input!$E$39),Input!$J$37,"")))),"")</f>
        <v/>
      </c>
      <c r="N22" s="6">
        <f t="shared" si="0"/>
        <v>0</v>
      </c>
      <c r="O22" s="4">
        <f t="shared" si="1"/>
        <v>5688.8998620199272</v>
      </c>
      <c r="S22" s="9">
        <f t="shared" si="2"/>
        <v>44706</v>
      </c>
      <c r="T22" s="5">
        <f t="shared" si="7"/>
        <v>5688.9</v>
      </c>
      <c r="U22" s="136"/>
      <c r="V22" s="105"/>
      <c r="W22" s="96"/>
    </row>
    <row r="23" spans="1:24">
      <c r="A23" s="1">
        <f t="shared" si="3"/>
        <v>1</v>
      </c>
      <c r="B23" s="16">
        <f t="shared" si="8"/>
        <v>6</v>
      </c>
      <c r="C23" s="9">
        <f t="shared" si="4"/>
        <v>44737</v>
      </c>
      <c r="D23" s="6">
        <f>IFERROR(PPMT(Input!$E$35/12,B23,$C$6,Input!$E$34,-$C$13,0)," ")</f>
        <v>-4484.8204092351889</v>
      </c>
      <c r="E23" s="6">
        <f>IFERROR(IPMT(Input!$E$35/12,B23,$C$6,Input!$E$34,-$C$13,0)," ")</f>
        <v>-1204.0794527847377</v>
      </c>
      <c r="F23" s="6">
        <f t="shared" si="9"/>
        <v>-26620.331305064916</v>
      </c>
      <c r="G23" s="6">
        <f t="shared" si="10"/>
        <v>-7513.067867054644</v>
      </c>
      <c r="H23" s="6">
        <f t="shared" si="5"/>
        <v>-5688.8998620199263</v>
      </c>
      <c r="I23" s="6">
        <f t="shared" si="6"/>
        <v>273379.6686949351</v>
      </c>
      <c r="J23" s="6" t="str">
        <f>IF(B23&lt;&gt;"",IF(AND(Input!$H$34="Annual",MOD(B23,12)=0),Input!$J$34,IF(AND(Input!$H$34="1st Installment",B23=1),Input!$J$34,IF(Input!$H$34="Monthly",Input!$J$34,""))),"")</f>
        <v/>
      </c>
      <c r="K23" s="6" t="str">
        <f>IF(B23&lt;&gt;"",IF(AND(Input!$H$35="Annual",MOD(B23,12)=0),Input!$J$35,IF(AND(Input!$H$35="1st Installment",B23=1),Input!$J$35,IF(Input!$H$35="Monthly",Input!$J$35,""))),"")</f>
        <v/>
      </c>
      <c r="L23" s="6" t="str">
        <f>IF(B23&lt;=$C$6,(_xlfn.IFNA(IF(AND(Input!$H$36="1st Installment",B23=1),Input!$I$36,IF(Input!$H$36="Monthly",VLOOKUP(A23,Input!$G$41:$L$46,6,0),IF(Input!$H$36="Annual",VLOOKUP('Auto Finance'!B23,Input!$K$41:$L$46,2,0),""))),""))," ")</f>
        <v/>
      </c>
      <c r="M23" s="6" t="str">
        <f>IF(B23&lt;&gt;"",IF(AND(Input!$H$37="Annual",MOD(B23,12)=0),Input!$J$37,IF(AND(Input!$H$37="1st Installment",B23=1),Input!$J$37,IF(Input!$H$37="Monthly",Input!$J$37,IF(AND(Input!$H$37="End of the loan",B23=Input!$E$39),Input!$J$37,"")))),"")</f>
        <v/>
      </c>
      <c r="N23" s="6">
        <f t="shared" si="0"/>
        <v>0</v>
      </c>
      <c r="O23" s="4">
        <f t="shared" si="1"/>
        <v>5688.8998620199263</v>
      </c>
      <c r="S23" s="9">
        <f t="shared" si="2"/>
        <v>44737</v>
      </c>
      <c r="T23" s="5">
        <f t="shared" si="7"/>
        <v>5688.9</v>
      </c>
      <c r="U23" s="136"/>
      <c r="V23" s="105"/>
      <c r="W23" s="96"/>
    </row>
    <row r="24" spans="1:24">
      <c r="A24" s="1">
        <f t="shared" si="3"/>
        <v>1</v>
      </c>
      <c r="B24" s="16">
        <f t="shared" si="8"/>
        <v>7</v>
      </c>
      <c r="C24" s="9">
        <f t="shared" si="4"/>
        <v>44767</v>
      </c>
      <c r="D24" s="6">
        <f>IFERROR(PPMT(Input!$E$35/12,B24,$C$6,Input!$E$34,-$C$13,0)," ")</f>
        <v>-4504.2546310085418</v>
      </c>
      <c r="E24" s="6">
        <f>IFERROR(IPMT(Input!$E$35/12,B24,$C$6,Input!$E$34,-$C$13,0)," ")</f>
        <v>-1184.6452310113855</v>
      </c>
      <c r="F24" s="6">
        <f t="shared" si="9"/>
        <v>-31124.585936073458</v>
      </c>
      <c r="G24" s="6">
        <f t="shared" si="10"/>
        <v>-8697.7130980660295</v>
      </c>
      <c r="H24" s="6">
        <f t="shared" si="5"/>
        <v>-5688.8998620199272</v>
      </c>
      <c r="I24" s="6">
        <f t="shared" si="6"/>
        <v>268875.41406392655</v>
      </c>
      <c r="J24" s="6" t="str">
        <f>IF(B24&lt;&gt;"",IF(AND(Input!$H$34="Annual",MOD(B24,12)=0),Input!$J$34,IF(AND(Input!$H$34="1st Installment",B24=1),Input!$J$34,IF(Input!$H$34="Monthly",Input!$J$34,""))),"")</f>
        <v/>
      </c>
      <c r="K24" s="6" t="str">
        <f>IF(B24&lt;&gt;"",IF(AND(Input!$H$35="Annual",MOD(B24,12)=0),Input!$J$35,IF(AND(Input!$H$35="1st Installment",B24=1),Input!$J$35,IF(Input!$H$35="Monthly",Input!$J$35,""))),"")</f>
        <v/>
      </c>
      <c r="L24" s="6" t="str">
        <f>IF(B24&lt;=$C$6,(_xlfn.IFNA(IF(AND(Input!$H$36="1st Installment",B24=1),Input!$I$36,IF(Input!$H$36="Monthly",VLOOKUP(A24,Input!$G$41:$L$46,6,0),IF(Input!$H$36="Annual",VLOOKUP('Auto Finance'!B24,Input!$K$41:$L$46,2,0),""))),""))," ")</f>
        <v/>
      </c>
      <c r="M24" s="6" t="str">
        <f>IF(B24&lt;&gt;"",IF(AND(Input!$H$37="Annual",MOD(B24,12)=0),Input!$J$37,IF(AND(Input!$H$37="1st Installment",B24=1),Input!$J$37,IF(Input!$H$37="Monthly",Input!$J$37,IF(AND(Input!$H$37="End of the loan",B24=Input!$E$39),Input!$J$37,"")))),"")</f>
        <v/>
      </c>
      <c r="N24" s="6">
        <f t="shared" si="0"/>
        <v>0</v>
      </c>
      <c r="O24" s="4">
        <f t="shared" si="1"/>
        <v>5688.8998620199272</v>
      </c>
      <c r="S24" s="9">
        <f t="shared" si="2"/>
        <v>44767</v>
      </c>
      <c r="T24" s="5">
        <f t="shared" si="7"/>
        <v>5688.9</v>
      </c>
      <c r="U24" s="136"/>
      <c r="V24" s="105"/>
      <c r="W24" s="96"/>
    </row>
    <row r="25" spans="1:24">
      <c r="A25" s="1">
        <f t="shared" si="3"/>
        <v>1</v>
      </c>
      <c r="B25" s="16">
        <f t="shared" si="8"/>
        <v>8</v>
      </c>
      <c r="C25" s="9">
        <f t="shared" si="4"/>
        <v>44798</v>
      </c>
      <c r="D25" s="6">
        <f>IFERROR(PPMT(Input!$E$35/12,B25,$C$6,Input!$E$34,-$C$13,0)," ")</f>
        <v>-4523.7730677429117</v>
      </c>
      <c r="E25" s="6">
        <f>IFERROR(IPMT(Input!$E$35/12,B25,$C$6,Input!$E$34,-$C$13,0)," ")</f>
        <v>-1165.1267942770151</v>
      </c>
      <c r="F25" s="6">
        <f t="shared" si="9"/>
        <v>-35648.359003816367</v>
      </c>
      <c r="G25" s="6">
        <f t="shared" si="10"/>
        <v>-9862.839892343045</v>
      </c>
      <c r="H25" s="6">
        <f t="shared" si="5"/>
        <v>-5688.8998620199272</v>
      </c>
      <c r="I25" s="6">
        <f t="shared" si="6"/>
        <v>264351.64099618362</v>
      </c>
      <c r="J25" s="6" t="str">
        <f>IF(B25&lt;&gt;"",IF(AND(Input!$H$34="Annual",MOD(B25,12)=0),Input!$J$34,IF(AND(Input!$H$34="1st Installment",B25=1),Input!$J$34,IF(Input!$H$34="Monthly",Input!$J$34,""))),"")</f>
        <v/>
      </c>
      <c r="K25" s="6" t="str">
        <f>IF(B25&lt;&gt;"",IF(AND(Input!$H$35="Annual",MOD(B25,12)=0),Input!$J$35,IF(AND(Input!$H$35="1st Installment",B25=1),Input!$J$35,IF(Input!$H$35="Monthly",Input!$J$35,""))),"")</f>
        <v/>
      </c>
      <c r="L25" s="6" t="str">
        <f>IF(B25&lt;=$C$6,(_xlfn.IFNA(IF(AND(Input!$H$36="1st Installment",B25=1),Input!$I$36,IF(Input!$H$36="Monthly",VLOOKUP(A25,Input!$G$41:$L$46,6,0),IF(Input!$H$36="Annual",VLOOKUP('Auto Finance'!B25,Input!$K$41:$L$46,2,0),""))),""))," ")</f>
        <v/>
      </c>
      <c r="M25" s="6" t="str">
        <f>IF(B25&lt;&gt;"",IF(AND(Input!$H$37="Annual",MOD(B25,12)=0),Input!$J$37,IF(AND(Input!$H$37="1st Installment",B25=1),Input!$J$37,IF(Input!$H$37="Monthly",Input!$J$37,IF(AND(Input!$H$37="End of the loan",B25=Input!$E$39),Input!$J$37,"")))),"")</f>
        <v/>
      </c>
      <c r="N25" s="6">
        <f t="shared" si="0"/>
        <v>0</v>
      </c>
      <c r="O25" s="4">
        <f t="shared" si="1"/>
        <v>5688.8998620199272</v>
      </c>
      <c r="S25" s="9">
        <f t="shared" si="2"/>
        <v>44798</v>
      </c>
      <c r="T25" s="5">
        <f t="shared" si="7"/>
        <v>5688.9</v>
      </c>
      <c r="U25" s="136"/>
      <c r="V25" s="105"/>
      <c r="W25" s="96"/>
    </row>
    <row r="26" spans="1:24">
      <c r="A26" s="1">
        <f t="shared" si="3"/>
        <v>1</v>
      </c>
      <c r="B26" s="16">
        <f t="shared" si="8"/>
        <v>9</v>
      </c>
      <c r="C26" s="9">
        <f t="shared" si="4"/>
        <v>44829</v>
      </c>
      <c r="D26" s="6">
        <f>IFERROR(PPMT(Input!$E$35/12,B26,$C$6,Input!$E$34,-$C$13,0)," ")</f>
        <v>-4543.3760843697974</v>
      </c>
      <c r="E26" s="6">
        <f>IFERROR(IPMT(Input!$E$35/12,B26,$C$6,Input!$E$34,-$C$13,0)," ")</f>
        <v>-1145.523777650129</v>
      </c>
      <c r="F26" s="6">
        <f t="shared" si="9"/>
        <v>-40191.735088186164</v>
      </c>
      <c r="G26" s="6">
        <f t="shared" si="10"/>
        <v>-11008.363669993174</v>
      </c>
      <c r="H26" s="6">
        <f t="shared" si="5"/>
        <v>-5688.8998620199263</v>
      </c>
      <c r="I26" s="6">
        <f t="shared" si="6"/>
        <v>259808.26491181384</v>
      </c>
      <c r="J26" s="6" t="str">
        <f>IF(B26&lt;&gt;"",IF(AND(Input!$H$34="Annual",MOD(B26,12)=0),Input!$J$34,IF(AND(Input!$H$34="1st Installment",B26=1),Input!$J$34,IF(Input!$H$34="Monthly",Input!$J$34,""))),"")</f>
        <v/>
      </c>
      <c r="K26" s="6" t="str">
        <f>IF(B26&lt;&gt;"",IF(AND(Input!$H$35="Annual",MOD(B26,12)=0),Input!$J$35,IF(AND(Input!$H$35="1st Installment",B26=1),Input!$J$35,IF(Input!$H$35="Monthly",Input!$J$35,""))),"")</f>
        <v/>
      </c>
      <c r="L26" s="6" t="str">
        <f>IF(B26&lt;=$C$6,(_xlfn.IFNA(IF(AND(Input!$H$36="1st Installment",B26=1),Input!$I$36,IF(Input!$H$36="Monthly",VLOOKUP(A26,Input!$G$41:$L$46,6,0),IF(Input!$H$36="Annual",VLOOKUP('Auto Finance'!B26,Input!$K$41:$L$46,2,0),""))),""))," ")</f>
        <v/>
      </c>
      <c r="M26" s="6" t="str">
        <f>IF(B26&lt;&gt;"",IF(AND(Input!$H$37="Annual",MOD(B26,12)=0),Input!$J$37,IF(AND(Input!$H$37="1st Installment",B26=1),Input!$J$37,IF(Input!$H$37="Monthly",Input!$J$37,IF(AND(Input!$H$37="End of the loan",B26=Input!$E$39),Input!$J$37,"")))),"")</f>
        <v/>
      </c>
      <c r="N26" s="6">
        <f t="shared" si="0"/>
        <v>0</v>
      </c>
      <c r="O26" s="4">
        <f t="shared" si="1"/>
        <v>5688.8998620199263</v>
      </c>
      <c r="S26" s="9">
        <f t="shared" si="2"/>
        <v>44829</v>
      </c>
      <c r="T26" s="5">
        <f t="shared" si="7"/>
        <v>5688.9</v>
      </c>
      <c r="U26" s="136"/>
      <c r="V26" s="105"/>
      <c r="W26" s="96"/>
    </row>
    <row r="27" spans="1:24">
      <c r="A27" s="1">
        <f t="shared" si="3"/>
        <v>1</v>
      </c>
      <c r="B27" s="16">
        <f t="shared" si="8"/>
        <v>10</v>
      </c>
      <c r="C27" s="9">
        <f t="shared" si="4"/>
        <v>44859</v>
      </c>
      <c r="D27" s="6">
        <f>IFERROR(PPMT(Input!$E$35/12,B27,$C$6,Input!$E$34,-$C$13,0)," ")</f>
        <v>-4563.0640474020674</v>
      </c>
      <c r="E27" s="6">
        <f>IFERROR(IPMT(Input!$E$35/12,B27,$C$6,Input!$E$34,-$C$13,0)," ")</f>
        <v>-1125.8358146178598</v>
      </c>
      <c r="F27" s="6">
        <f t="shared" si="9"/>
        <v>-44754.799135588233</v>
      </c>
      <c r="G27" s="6">
        <f t="shared" si="10"/>
        <v>-12134.199484611034</v>
      </c>
      <c r="H27" s="6">
        <f t="shared" si="5"/>
        <v>-5688.8998620199272</v>
      </c>
      <c r="I27" s="6">
        <f t="shared" si="6"/>
        <v>255245.20086441177</v>
      </c>
      <c r="J27" s="6" t="str">
        <f>IF(B27&lt;&gt;"",IF(AND(Input!$H$34="Annual",MOD(B27,12)=0),Input!$J$34,IF(AND(Input!$H$34="1st Installment",B27=1),Input!$J$34,IF(Input!$H$34="Monthly",Input!$J$34,""))),"")</f>
        <v/>
      </c>
      <c r="K27" s="6" t="str">
        <f>IF(B27&lt;&gt;"",IF(AND(Input!$H$35="Annual",MOD(B27,12)=0),Input!$J$35,IF(AND(Input!$H$35="1st Installment",B27=1),Input!$J$35,IF(Input!$H$35="Monthly",Input!$J$35,""))),"")</f>
        <v/>
      </c>
      <c r="L27" s="6" t="str">
        <f>IF(B27&lt;=$C$6,(_xlfn.IFNA(IF(AND(Input!$H$36="1st Installment",B27=1),Input!$I$36,IF(Input!$H$36="Monthly",VLOOKUP(A27,Input!$G$41:$L$46,6,0),IF(Input!$H$36="Annual",VLOOKUP('Auto Finance'!B27,Input!$K$41:$L$46,2,0),""))),""))," ")</f>
        <v/>
      </c>
      <c r="M27" s="6" t="str">
        <f>IF(B27&lt;&gt;"",IF(AND(Input!$H$37="Annual",MOD(B27,12)=0),Input!$J$37,IF(AND(Input!$H$37="1st Installment",B27=1),Input!$J$37,IF(Input!$H$37="Monthly",Input!$J$37,IF(AND(Input!$H$37="End of the loan",B27=Input!$E$39),Input!$J$37,"")))),"")</f>
        <v/>
      </c>
      <c r="N27" s="6">
        <f t="shared" si="0"/>
        <v>0</v>
      </c>
      <c r="O27" s="4">
        <f t="shared" si="1"/>
        <v>5688.8998620199272</v>
      </c>
      <c r="S27" s="9">
        <f t="shared" si="2"/>
        <v>44859</v>
      </c>
      <c r="T27" s="5">
        <f t="shared" si="7"/>
        <v>5688.9</v>
      </c>
      <c r="U27" s="136"/>
      <c r="V27" s="105"/>
      <c r="W27" s="96"/>
    </row>
    <row r="28" spans="1:24">
      <c r="A28" s="1">
        <f t="shared" si="3"/>
        <v>1</v>
      </c>
      <c r="B28" s="16">
        <f t="shared" si="8"/>
        <v>11</v>
      </c>
      <c r="C28" s="9">
        <f t="shared" si="4"/>
        <v>44890</v>
      </c>
      <c r="D28" s="6">
        <f>IFERROR(PPMT(Input!$E$35/12,B28,$C$6,Input!$E$34,-$C$13,0)," ")</f>
        <v>-4582.8373249408096</v>
      </c>
      <c r="E28" s="6">
        <f>IFERROR(IPMT(Input!$E$35/12,B28,$C$6,Input!$E$34,-$C$13,0)," ")</f>
        <v>-1106.0625370791174</v>
      </c>
      <c r="F28" s="6">
        <f t="shared" si="9"/>
        <v>-49337.636460529044</v>
      </c>
      <c r="G28" s="6">
        <f t="shared" si="10"/>
        <v>-13240.262021690151</v>
      </c>
      <c r="H28" s="6">
        <f t="shared" si="5"/>
        <v>-5688.8998620199272</v>
      </c>
      <c r="I28" s="6">
        <f t="shared" si="6"/>
        <v>250662.36353947094</v>
      </c>
      <c r="J28" s="6" t="str">
        <f>IF(B28&lt;&gt;"",IF(AND(Input!$H$34="Annual",MOD(B28,12)=0),Input!$J$34,IF(AND(Input!$H$34="1st Installment",B28=1),Input!$J$34,IF(Input!$H$34="Monthly",Input!$J$34,""))),"")</f>
        <v/>
      </c>
      <c r="K28" s="6" t="str">
        <f>IF(B28&lt;&gt;"",IF(AND(Input!$H$35="Annual",MOD(B28,12)=0),Input!$J$35,IF(AND(Input!$H$35="1st Installment",B28=1),Input!$J$35,IF(Input!$H$35="Monthly",Input!$J$35,""))),"")</f>
        <v/>
      </c>
      <c r="L28" s="6" t="str">
        <f>IF(B28&lt;=$C$6,(_xlfn.IFNA(IF(AND(Input!$H$36="1st Installment",B28=1),Input!$I$36,IF(Input!$H$36="Monthly",VLOOKUP(A28,Input!$G$41:$L$46,6,0),IF(Input!$H$36="Annual",VLOOKUP('Auto Finance'!B28,Input!$K$41:$L$46,2,0),""))),""))," ")</f>
        <v/>
      </c>
      <c r="M28" s="6" t="str">
        <f>IF(B28&lt;&gt;"",IF(AND(Input!$H$37="Annual",MOD(B28,12)=0),Input!$J$37,IF(AND(Input!$H$37="1st Installment",B28=1),Input!$J$37,IF(Input!$H$37="Monthly",Input!$J$37,IF(AND(Input!$H$37="End of the loan",B28=Input!$E$39),Input!$J$37,"")))),"")</f>
        <v/>
      </c>
      <c r="N28" s="6">
        <f t="shared" si="0"/>
        <v>0</v>
      </c>
      <c r="O28" s="4">
        <f t="shared" si="1"/>
        <v>5688.8998620199272</v>
      </c>
      <c r="S28" s="9">
        <f t="shared" si="2"/>
        <v>44890</v>
      </c>
      <c r="T28" s="5">
        <f t="shared" si="7"/>
        <v>5688.9</v>
      </c>
      <c r="U28" s="136"/>
      <c r="V28" s="105"/>
      <c r="W28" s="96"/>
    </row>
    <row r="29" spans="1:24">
      <c r="A29" s="1">
        <f t="shared" si="3"/>
        <v>1</v>
      </c>
      <c r="B29" s="16">
        <f t="shared" si="8"/>
        <v>12</v>
      </c>
      <c r="C29" s="9">
        <f t="shared" si="4"/>
        <v>44920</v>
      </c>
      <c r="D29" s="6">
        <f>IFERROR(PPMT(Input!$E$35/12,B29,$C$6,Input!$E$34,-$C$13,0)," ")</f>
        <v>-4602.6962866822187</v>
      </c>
      <c r="E29" s="6">
        <f>IFERROR(IPMT(Input!$E$35/12,B29,$C$6,Input!$E$34,-$C$13,0)," ")</f>
        <v>-1086.2035753377074</v>
      </c>
      <c r="F29" s="6">
        <f t="shared" si="9"/>
        <v>-53940.332747211265</v>
      </c>
      <c r="G29" s="6">
        <f t="shared" si="10"/>
        <v>-14326.465597027858</v>
      </c>
      <c r="H29" s="6">
        <f t="shared" si="5"/>
        <v>-5688.8998620199263</v>
      </c>
      <c r="I29" s="6">
        <f t="shared" si="6"/>
        <v>246059.66725278873</v>
      </c>
      <c r="J29" s="6" t="str">
        <f>IF(B29&lt;&gt;"",IF(AND(Input!$H$34="Annual",MOD(B29,12)=0),Input!$J$34,IF(AND(Input!$H$34="1st Installment",B29=1),Input!$J$34,IF(Input!$H$34="Monthly",Input!$J$34,""))),"")</f>
        <v/>
      </c>
      <c r="K29" s="6">
        <f>IF(B29&lt;&gt;"",IF(AND(Input!$H$35="Annual",MOD(B29,12)=0),Input!$J$35,IF(AND(Input!$H$35="1st Installment",B29=1),Input!$J$35,IF(Input!$H$35="Monthly",Input!$J$35,""))),"")</f>
        <v>0</v>
      </c>
      <c r="L29" s="6" t="str">
        <f>IF(B29&lt;=$C$6,(_xlfn.IFNA(IF(AND(Input!$H$36="1st Installment",B29=1),Input!$I$36,IF(Input!$H$36="Monthly",VLOOKUP(A29,Input!$G$41:$L$46,6,0),IF(Input!$H$36="Annual",VLOOKUP('Auto Finance'!B29,Input!$K$41:$L$46,2,0),""))),""))," ")</f>
        <v/>
      </c>
      <c r="M29" s="6" t="str">
        <f>IF(B29&lt;&gt;"",IF(AND(Input!$H$37="Annual",MOD(B29,12)=0),Input!$J$37,IF(AND(Input!$H$37="1st Installment",B29=1),Input!$J$37,IF(Input!$H$37="Monthly",Input!$J$37,IF(AND(Input!$H$37="End of the loan",B29=Input!$E$39),Input!$J$37,"")))),"")</f>
        <v/>
      </c>
      <c r="N29" s="6">
        <f t="shared" si="0"/>
        <v>0</v>
      </c>
      <c r="O29" s="4">
        <f t="shared" si="1"/>
        <v>5688.8998620199263</v>
      </c>
      <c r="S29" s="9">
        <f t="shared" si="2"/>
        <v>44920</v>
      </c>
      <c r="T29" s="5">
        <f t="shared" si="7"/>
        <v>5688.9</v>
      </c>
      <c r="U29" s="136"/>
      <c r="V29" s="105"/>
      <c r="W29" s="96"/>
    </row>
    <row r="30" spans="1:24">
      <c r="A30" s="1">
        <f>IF(B30&lt;&gt;"",2,"")</f>
        <v>2</v>
      </c>
      <c r="B30" s="16">
        <f t="shared" si="8"/>
        <v>13</v>
      </c>
      <c r="C30" s="9">
        <f t="shared" si="4"/>
        <v>44951</v>
      </c>
      <c r="D30" s="6">
        <f>IFERROR(PPMT(Input!$E$35/12,B30,$C$6,Input!$E$34,-$C$13,0)," ")</f>
        <v>-4622.641303924509</v>
      </c>
      <c r="E30" s="6">
        <f>IFERROR(IPMT(Input!$E$35/12,B30,$C$6,Input!$E$34,-$C$13,0)," ")</f>
        <v>-1066.2585580954178</v>
      </c>
      <c r="F30" s="6">
        <f t="shared" si="9"/>
        <v>-58562.974051135774</v>
      </c>
      <c r="G30" s="6">
        <f t="shared" si="10"/>
        <v>-15392.724155123276</v>
      </c>
      <c r="H30" s="6">
        <f t="shared" si="5"/>
        <v>-5688.8998620199272</v>
      </c>
      <c r="I30" s="6">
        <f t="shared" si="6"/>
        <v>241437.02594886423</v>
      </c>
      <c r="J30" s="6" t="str">
        <f>IF(B30&lt;&gt;"",IF(AND(Input!$H$34="Annual",MOD(B30,12)=0),Input!$J$34,IF(AND(Input!$H$34="1st Installment",B30=1),Input!$J$34,IF(Input!$H$34="Monthly",Input!$J$34,""))),"")</f>
        <v/>
      </c>
      <c r="K30" s="6" t="str">
        <f>IF(B30&lt;&gt;"",IF(AND(Input!$H$35="Annual",MOD(B30,12)=0),Input!$J$35,IF(AND(Input!$H$35="1st Installment",B30=1),Input!$J$35,IF(Input!$H$35="Monthly",Input!$J$35,""))),"")</f>
        <v/>
      </c>
      <c r="L30" s="6" t="str">
        <f>IF(B30&lt;=$C$6,(_xlfn.IFNA(IF(AND(Input!$H$36="1st Installment",B30=1),Input!$I$36,IF(Input!$H$36="Monthly",VLOOKUP(A30,Input!$G$41:$L$46,6,0),IF(Input!$H$36="Annual",VLOOKUP('Auto Finance'!B30,Input!$K$41:$L$46,2,0),""))),""))," ")</f>
        <v/>
      </c>
      <c r="M30" s="6" t="str">
        <f>IF(B30&lt;&gt;"",IF(AND(Input!$H$37="Annual",MOD(B30,12)=0),Input!$J$37,IF(AND(Input!$H$37="1st Installment",B30=1),Input!$J$37,IF(Input!$H$37="Monthly",Input!$J$37,IF(AND(Input!$H$37="End of the loan",B30=Input!$E$39),Input!$J$37,"")))),"")</f>
        <v/>
      </c>
      <c r="N30" s="6">
        <f t="shared" si="0"/>
        <v>0</v>
      </c>
      <c r="O30" s="4">
        <f t="shared" si="1"/>
        <v>5688.8998620199272</v>
      </c>
      <c r="S30" s="9">
        <f t="shared" si="2"/>
        <v>44951</v>
      </c>
      <c r="T30" s="5">
        <f t="shared" si="7"/>
        <v>5688.9</v>
      </c>
      <c r="U30" s="136"/>
      <c r="V30" s="105"/>
      <c r="W30" s="96"/>
    </row>
    <row r="31" spans="1:24">
      <c r="A31" s="1">
        <f t="shared" ref="A31:A41" si="11">IF(B31&lt;&gt;"",2,"")</f>
        <v>2</v>
      </c>
      <c r="B31" s="16">
        <f t="shared" si="8"/>
        <v>14</v>
      </c>
      <c r="C31" s="9">
        <f t="shared" si="4"/>
        <v>44982</v>
      </c>
      <c r="D31" s="6">
        <f>IFERROR(PPMT(Input!$E$35/12,B31,$C$6,Input!$E$34,-$C$13,0)," ")</f>
        <v>-4642.6727495748491</v>
      </c>
      <c r="E31" s="6">
        <f>IFERROR(IPMT(Input!$E$35/12,B31,$C$6,Input!$E$34,-$C$13,0)," ")</f>
        <v>-1046.2271124450781</v>
      </c>
      <c r="F31" s="6">
        <f t="shared" si="9"/>
        <v>-63205.646800710623</v>
      </c>
      <c r="G31" s="6">
        <f t="shared" si="10"/>
        <v>-16438.951267568355</v>
      </c>
      <c r="H31" s="6">
        <f t="shared" si="5"/>
        <v>-5688.8998620199272</v>
      </c>
      <c r="I31" s="6">
        <f t="shared" si="6"/>
        <v>236794.35319928938</v>
      </c>
      <c r="J31" s="6" t="str">
        <f>IF(B31&lt;&gt;"",IF(AND(Input!$H$34="Annual",MOD(B31,12)=0),Input!$J$34,IF(AND(Input!$H$34="1st Installment",B31=1),Input!$J$34,IF(Input!$H$34="Monthly",Input!$J$34,""))),"")</f>
        <v/>
      </c>
      <c r="K31" s="6" t="str">
        <f>IF(B31&lt;&gt;"",IF(AND(Input!$H$35="Annual",MOD(B31,12)=0),Input!$J$35,IF(AND(Input!$H$35="1st Installment",B31=1),Input!$J$35,IF(Input!$H$35="Monthly",Input!$J$35,""))),"")</f>
        <v/>
      </c>
      <c r="L31" s="6" t="str">
        <f>IF(B31&lt;=$C$6,(_xlfn.IFNA(IF(AND(Input!$H$36="1st Installment",B31=1),Input!$I$36,IF(Input!$H$36="Monthly",VLOOKUP(A31,Input!$G$41:$L$46,6,0),IF(Input!$H$36="Annual",VLOOKUP('Auto Finance'!B31,Input!$K$41:$L$46,2,0),""))),""))," ")</f>
        <v/>
      </c>
      <c r="M31" s="6" t="str">
        <f>IF(B31&lt;&gt;"",IF(AND(Input!$H$37="Annual",MOD(B31,12)=0),Input!$J$37,IF(AND(Input!$H$37="1st Installment",B31=1),Input!$J$37,IF(Input!$H$37="Monthly",Input!$J$37,IF(AND(Input!$H$37="End of the loan",B31=Input!$E$39),Input!$J$37,"")))),"")</f>
        <v/>
      </c>
      <c r="N31" s="6">
        <f t="shared" si="0"/>
        <v>0</v>
      </c>
      <c r="O31" s="4">
        <f t="shared" si="1"/>
        <v>5688.8998620199272</v>
      </c>
      <c r="S31" s="9">
        <f t="shared" si="2"/>
        <v>44982</v>
      </c>
      <c r="T31" s="5">
        <f t="shared" si="7"/>
        <v>5688.9</v>
      </c>
      <c r="U31" s="136"/>
      <c r="V31" s="105"/>
      <c r="W31" s="96"/>
    </row>
    <row r="32" spans="1:24">
      <c r="A32" s="1">
        <f t="shared" si="11"/>
        <v>2</v>
      </c>
      <c r="B32" s="16">
        <f t="shared" si="8"/>
        <v>15</v>
      </c>
      <c r="C32" s="9">
        <f t="shared" si="4"/>
        <v>45010</v>
      </c>
      <c r="D32" s="6">
        <f>IFERROR(PPMT(Input!$E$35/12,B32,$C$6,Input!$E$34,-$C$13,0)," ")</f>
        <v>-4662.7909981563389</v>
      </c>
      <c r="E32" s="6">
        <f>IFERROR(IPMT(Input!$E$35/12,B32,$C$6,Input!$E$34,-$C$13,0)," ")</f>
        <v>-1026.1088638635872</v>
      </c>
      <c r="F32" s="6">
        <f t="shared" si="9"/>
        <v>-67868.437798866958</v>
      </c>
      <c r="G32" s="6">
        <f t="shared" si="10"/>
        <v>-17465.060131431943</v>
      </c>
      <c r="H32" s="6">
        <f t="shared" si="5"/>
        <v>-5688.8998620199263</v>
      </c>
      <c r="I32" s="6">
        <f t="shared" si="6"/>
        <v>232131.56220113306</v>
      </c>
      <c r="J32" s="6" t="str">
        <f>IF(B32&lt;&gt;"",IF(AND(Input!$H$34="Annual",MOD(B32,12)=0),Input!$J$34,IF(AND(Input!$H$34="1st Installment",B32=1),Input!$J$34,IF(Input!$H$34="Monthly",Input!$J$34,""))),"")</f>
        <v/>
      </c>
      <c r="K32" s="6" t="str">
        <f>IF(B32&lt;&gt;"",IF(AND(Input!$H$35="Annual",MOD(B32,12)=0),Input!$J$35,IF(AND(Input!$H$35="1st Installment",B32=1),Input!$J$35,IF(Input!$H$35="Monthly",Input!$J$35,""))),"")</f>
        <v/>
      </c>
      <c r="L32" s="6" t="str">
        <f>IF(B32&lt;=$C$6,(_xlfn.IFNA(IF(AND(Input!$H$36="1st Installment",B32=1),Input!$I$36,IF(Input!$H$36="Monthly",VLOOKUP(A32,Input!$G$41:$L$46,6,0),IF(Input!$H$36="Annual",VLOOKUP('Auto Finance'!B32,Input!$K$41:$L$46,2,0),""))),""))," ")</f>
        <v/>
      </c>
      <c r="M32" s="6" t="str">
        <f>IF(B32&lt;&gt;"",IF(AND(Input!$H$37="Annual",MOD(B32,12)=0),Input!$J$37,IF(AND(Input!$H$37="1st Installment",B32=1),Input!$J$37,IF(Input!$H$37="Monthly",Input!$J$37,IF(AND(Input!$H$37="End of the loan",B32=Input!$E$39),Input!$J$37,"")))),"")</f>
        <v/>
      </c>
      <c r="N32" s="6">
        <f t="shared" si="0"/>
        <v>0</v>
      </c>
      <c r="O32" s="4">
        <f t="shared" si="1"/>
        <v>5688.8998620199263</v>
      </c>
      <c r="S32" s="9">
        <f t="shared" si="2"/>
        <v>45010</v>
      </c>
      <c r="T32" s="5">
        <f t="shared" si="7"/>
        <v>5688.9</v>
      </c>
      <c r="U32" s="136"/>
      <c r="V32" s="105"/>
      <c r="W32" s="96"/>
    </row>
    <row r="33" spans="1:23">
      <c r="A33" s="1">
        <f t="shared" si="11"/>
        <v>2</v>
      </c>
      <c r="B33" s="16">
        <f t="shared" si="8"/>
        <v>16</v>
      </c>
      <c r="C33" s="9">
        <f t="shared" si="4"/>
        <v>45041</v>
      </c>
      <c r="D33" s="6">
        <f>IFERROR(PPMT(Input!$E$35/12,B33,$C$6,Input!$E$34,-$C$13,0)," ")</f>
        <v>-4682.9964258150176</v>
      </c>
      <c r="E33" s="6">
        <f>IFERROR(IPMT(Input!$E$35/12,B33,$C$6,Input!$E$34,-$C$13,0)," ")</f>
        <v>-1005.9034362049098</v>
      </c>
      <c r="F33" s="6">
        <f t="shared" si="9"/>
        <v>-72551.434224681972</v>
      </c>
      <c r="G33" s="6">
        <f t="shared" si="10"/>
        <v>-18470.963567636853</v>
      </c>
      <c r="H33" s="6">
        <f t="shared" si="5"/>
        <v>-5688.8998620199272</v>
      </c>
      <c r="I33" s="6">
        <f t="shared" si="6"/>
        <v>227448.56577531801</v>
      </c>
      <c r="J33" s="6" t="str">
        <f>IF(B33&lt;&gt;"",IF(AND(Input!$H$34="Annual",MOD(B33,12)=0),Input!$J$34,IF(AND(Input!$H$34="1st Installment",B33=1),Input!$J$34,IF(Input!$H$34="Monthly",Input!$J$34,""))),"")</f>
        <v/>
      </c>
      <c r="K33" s="6" t="str">
        <f>IF(B33&lt;&gt;"",IF(AND(Input!$H$35="Annual",MOD(B33,12)=0),Input!$J$35,IF(AND(Input!$H$35="1st Installment",B33=1),Input!$J$35,IF(Input!$H$35="Monthly",Input!$J$35,""))),"")</f>
        <v/>
      </c>
      <c r="L33" s="6" t="str">
        <f>IF(B33&lt;=$C$6,(_xlfn.IFNA(IF(AND(Input!$H$36="1st Installment",B33=1),Input!$I$36,IF(Input!$H$36="Monthly",VLOOKUP(A33,Input!$G$41:$L$46,6,0),IF(Input!$H$36="Annual",VLOOKUP('Auto Finance'!B33,Input!$K$41:$L$46,2,0),""))),""))," ")</f>
        <v/>
      </c>
      <c r="M33" s="6" t="str">
        <f>IF(B33&lt;&gt;"",IF(AND(Input!$H$37="Annual",MOD(B33,12)=0),Input!$J$37,IF(AND(Input!$H$37="1st Installment",B33=1),Input!$J$37,IF(Input!$H$37="Monthly",Input!$J$37,IF(AND(Input!$H$37="End of the loan",B33=Input!$E$39),Input!$J$37,"")))),"")</f>
        <v/>
      </c>
      <c r="N33" s="6">
        <f t="shared" si="0"/>
        <v>0</v>
      </c>
      <c r="O33" s="4">
        <f t="shared" si="1"/>
        <v>5688.8998620199272</v>
      </c>
      <c r="S33" s="9">
        <f t="shared" si="2"/>
        <v>45041</v>
      </c>
      <c r="T33" s="5">
        <f t="shared" si="7"/>
        <v>5688.9</v>
      </c>
      <c r="U33" s="136"/>
      <c r="V33" s="105"/>
      <c r="W33" s="96"/>
    </row>
    <row r="34" spans="1:23">
      <c r="A34" s="1">
        <f t="shared" si="11"/>
        <v>2</v>
      </c>
      <c r="B34" s="16">
        <f t="shared" si="8"/>
        <v>17</v>
      </c>
      <c r="C34" s="9">
        <f t="shared" si="4"/>
        <v>45071</v>
      </c>
      <c r="D34" s="6">
        <f>IFERROR(PPMT(Input!$E$35/12,B34,$C$6,Input!$E$34,-$C$13,0)," ")</f>
        <v>-4703.2894103268818</v>
      </c>
      <c r="E34" s="6">
        <f>IFERROR(IPMT(Input!$E$35/12,B34,$C$6,Input!$E$34,-$C$13,0)," ")</f>
        <v>-985.61045169304475</v>
      </c>
      <c r="F34" s="6">
        <f t="shared" si="9"/>
        <v>-77254.72363500885</v>
      </c>
      <c r="G34" s="6">
        <f t="shared" si="10"/>
        <v>-19456.574019329899</v>
      </c>
      <c r="H34" s="6">
        <f t="shared" si="5"/>
        <v>-5688.8998620199263</v>
      </c>
      <c r="I34" s="6">
        <f t="shared" si="6"/>
        <v>222745.27636499115</v>
      </c>
      <c r="J34" s="6" t="str">
        <f>IF(B34&lt;&gt;"",IF(AND(Input!$H$34="Annual",MOD(B34,12)=0),Input!$J$34,IF(AND(Input!$H$34="1st Installment",B34=1),Input!$J$34,IF(Input!$H$34="Monthly",Input!$J$34,""))),"")</f>
        <v/>
      </c>
      <c r="K34" s="6" t="str">
        <f>IF(B34&lt;&gt;"",IF(AND(Input!$H$35="Annual",MOD(B34,12)=0),Input!$J$35,IF(AND(Input!$H$35="1st Installment",B34=1),Input!$J$35,IF(Input!$H$35="Monthly",Input!$J$35,""))),"")</f>
        <v/>
      </c>
      <c r="L34" s="6" t="str">
        <f>IF(B34&lt;=$C$6,(_xlfn.IFNA(IF(AND(Input!$H$36="1st Installment",B34=1),Input!$I$36,IF(Input!$H$36="Monthly",VLOOKUP(A34,Input!$G$41:$L$46,6,0),IF(Input!$H$36="Annual",VLOOKUP('Auto Finance'!B34,Input!$K$41:$L$46,2,0),""))),""))," ")</f>
        <v/>
      </c>
      <c r="M34" s="6" t="str">
        <f>IF(B34&lt;&gt;"",IF(AND(Input!$H$37="Annual",MOD(B34,12)=0),Input!$J$37,IF(AND(Input!$H$37="1st Installment",B34=1),Input!$J$37,IF(Input!$H$37="Monthly",Input!$J$37,IF(AND(Input!$H$37="End of the loan",B34=Input!$E$39),Input!$J$37,"")))),"")</f>
        <v/>
      </c>
      <c r="N34" s="6">
        <f t="shared" si="0"/>
        <v>0</v>
      </c>
      <c r="O34" s="4">
        <f t="shared" si="1"/>
        <v>5688.8998620199263</v>
      </c>
      <c r="S34" s="9">
        <f t="shared" si="2"/>
        <v>45071</v>
      </c>
      <c r="T34" s="5">
        <f t="shared" si="7"/>
        <v>5688.9</v>
      </c>
      <c r="U34" s="136"/>
      <c r="V34" s="105"/>
      <c r="W34" s="96"/>
    </row>
    <row r="35" spans="1:23">
      <c r="A35" s="1">
        <f t="shared" si="11"/>
        <v>2</v>
      </c>
      <c r="B35" s="16">
        <f t="shared" si="8"/>
        <v>18</v>
      </c>
      <c r="C35" s="9">
        <f t="shared" si="4"/>
        <v>45102</v>
      </c>
      <c r="D35" s="6">
        <f>IFERROR(PPMT(Input!$E$35/12,B35,$C$6,Input!$E$34,-$C$13,0)," ")</f>
        <v>-4723.670331104965</v>
      </c>
      <c r="E35" s="6">
        <f>IFERROR(IPMT(Input!$E$35/12,B35,$C$6,Input!$E$34,-$C$13,0)," ")</f>
        <v>-965.2295309149614</v>
      </c>
      <c r="F35" s="6">
        <f t="shared" si="9"/>
        <v>-81978.393966113814</v>
      </c>
      <c r="G35" s="6">
        <f t="shared" si="10"/>
        <v>-20421.803550244862</v>
      </c>
      <c r="H35" s="6">
        <f t="shared" si="5"/>
        <v>-5688.8998620199263</v>
      </c>
      <c r="I35" s="6">
        <f t="shared" si="6"/>
        <v>218021.6060338862</v>
      </c>
      <c r="J35" s="6" t="str">
        <f>IF(B35&lt;&gt;"",IF(AND(Input!$H$34="Annual",MOD(B35,12)=0),Input!$J$34,IF(AND(Input!$H$34="1st Installment",B35=1),Input!$J$34,IF(Input!$H$34="Monthly",Input!$J$34,""))),"")</f>
        <v/>
      </c>
      <c r="K35" s="6" t="str">
        <f>IF(B35&lt;&gt;"",IF(AND(Input!$H$35="Annual",MOD(B35,12)=0),Input!$J$35,IF(AND(Input!$H$35="1st Installment",B35=1),Input!$J$35,IF(Input!$H$35="Monthly",Input!$J$35,""))),"")</f>
        <v/>
      </c>
      <c r="L35" s="6" t="str">
        <f>IF(B35&lt;=$C$6,(_xlfn.IFNA(IF(AND(Input!$H$36="1st Installment",B35=1),Input!$I$36,IF(Input!$H$36="Monthly",VLOOKUP(A35,Input!$G$41:$L$46,6,0),IF(Input!$H$36="Annual",VLOOKUP('Auto Finance'!B35,Input!$K$41:$L$46,2,0),""))),""))," ")</f>
        <v/>
      </c>
      <c r="M35" s="6" t="str">
        <f>IF(B35&lt;&gt;"",IF(AND(Input!$H$37="Annual",MOD(B35,12)=0),Input!$J$37,IF(AND(Input!$H$37="1st Installment",B35=1),Input!$J$37,IF(Input!$H$37="Monthly",Input!$J$37,IF(AND(Input!$H$37="End of the loan",B35=Input!$E$39),Input!$J$37,"")))),"")</f>
        <v/>
      </c>
      <c r="N35" s="6">
        <f t="shared" si="0"/>
        <v>0</v>
      </c>
      <c r="O35" s="4">
        <f t="shared" si="1"/>
        <v>5688.8998620199263</v>
      </c>
      <c r="S35" s="9">
        <f t="shared" si="2"/>
        <v>45102</v>
      </c>
      <c r="T35" s="5">
        <f t="shared" si="7"/>
        <v>5688.9</v>
      </c>
      <c r="U35" s="136"/>
      <c r="V35" s="105"/>
      <c r="W35" s="96"/>
    </row>
    <row r="36" spans="1:23">
      <c r="A36" s="1">
        <f t="shared" si="11"/>
        <v>2</v>
      </c>
      <c r="B36" s="16">
        <f t="shared" si="8"/>
        <v>19</v>
      </c>
      <c r="C36" s="9">
        <f t="shared" si="4"/>
        <v>45132</v>
      </c>
      <c r="D36" s="6">
        <f>IFERROR(PPMT(Input!$E$35/12,B36,$C$6,Input!$E$34,-$C$13,0)," ")</f>
        <v>-4744.1395692064207</v>
      </c>
      <c r="E36" s="6">
        <f>IFERROR(IPMT(Input!$E$35/12,B36,$C$6,Input!$E$34,-$C$13,0)," ")</f>
        <v>-944.76029281350679</v>
      </c>
      <c r="F36" s="6">
        <f t="shared" si="9"/>
        <v>-86722.533535320239</v>
      </c>
      <c r="G36" s="6">
        <f t="shared" si="10"/>
        <v>-21366.563843058368</v>
      </c>
      <c r="H36" s="6">
        <f t="shared" si="5"/>
        <v>-5688.8998620199272</v>
      </c>
      <c r="I36" s="6">
        <f t="shared" si="6"/>
        <v>213277.46646467975</v>
      </c>
      <c r="J36" s="6" t="str">
        <f>IF(B36&lt;&gt;"",IF(AND(Input!$H$34="Annual",MOD(B36,12)=0),Input!$J$34,IF(AND(Input!$H$34="1st Installment",B36=1),Input!$J$34,IF(Input!$H$34="Monthly",Input!$J$34,""))),"")</f>
        <v/>
      </c>
      <c r="K36" s="6" t="str">
        <f>IF(B36&lt;&gt;"",IF(AND(Input!$H$35="Annual",MOD(B36,12)=0),Input!$J$35,IF(AND(Input!$H$35="1st Installment",B36=1),Input!$J$35,IF(Input!$H$35="Monthly",Input!$J$35,""))),"")</f>
        <v/>
      </c>
      <c r="L36" s="6" t="str">
        <f>IF(B36&lt;=$C$6,(_xlfn.IFNA(IF(AND(Input!$H$36="1st Installment",B36=1),Input!$I$36,IF(Input!$H$36="Monthly",VLOOKUP(A36,Input!$G$41:$L$46,6,0),IF(Input!$H$36="Annual",VLOOKUP('Auto Finance'!B36,Input!$K$41:$L$46,2,0),""))),""))," ")</f>
        <v/>
      </c>
      <c r="M36" s="6" t="str">
        <f>IF(B36&lt;&gt;"",IF(AND(Input!$H$37="Annual",MOD(B36,12)=0),Input!$J$37,IF(AND(Input!$H$37="1st Installment",B36=1),Input!$J$37,IF(Input!$H$37="Monthly",Input!$J$37,IF(AND(Input!$H$37="End of the loan",B36=Input!$E$39),Input!$J$37,"")))),"")</f>
        <v/>
      </c>
      <c r="N36" s="6">
        <f t="shared" si="0"/>
        <v>0</v>
      </c>
      <c r="O36" s="4">
        <f t="shared" si="1"/>
        <v>5688.8998620199272</v>
      </c>
      <c r="S36" s="9">
        <f t="shared" si="2"/>
        <v>45132</v>
      </c>
      <c r="T36" s="5">
        <f t="shared" si="7"/>
        <v>5688.9</v>
      </c>
      <c r="U36" s="136"/>
      <c r="V36" s="105"/>
      <c r="W36" s="96"/>
    </row>
    <row r="37" spans="1:23">
      <c r="A37" s="1">
        <f t="shared" si="11"/>
        <v>2</v>
      </c>
      <c r="B37" s="16">
        <f t="shared" si="8"/>
        <v>20</v>
      </c>
      <c r="C37" s="9">
        <f t="shared" si="4"/>
        <v>45163</v>
      </c>
      <c r="D37" s="6">
        <f>IFERROR(PPMT(Input!$E$35/12,B37,$C$6,Input!$E$34,-$C$13,0)," ")</f>
        <v>-4764.6975073396479</v>
      </c>
      <c r="E37" s="6">
        <f>IFERROR(IPMT(Input!$E$35/12,B37,$C$6,Input!$E$34,-$C$13,0)," ")</f>
        <v>-924.20235468027897</v>
      </c>
      <c r="F37" s="6">
        <f t="shared" si="9"/>
        <v>-91487.231042659885</v>
      </c>
      <c r="G37" s="6">
        <f t="shared" si="10"/>
        <v>-22290.766197738645</v>
      </c>
      <c r="H37" s="6">
        <f t="shared" si="5"/>
        <v>-5688.8998620199272</v>
      </c>
      <c r="I37" s="6">
        <f t="shared" si="6"/>
        <v>208512.7689573401</v>
      </c>
      <c r="J37" s="6" t="str">
        <f>IF(B37&lt;&gt;"",IF(AND(Input!$H$34="Annual",MOD(B37,12)=0),Input!$J$34,IF(AND(Input!$H$34="1st Installment",B37=1),Input!$J$34,IF(Input!$H$34="Monthly",Input!$J$34,""))),"")</f>
        <v/>
      </c>
      <c r="K37" s="6" t="str">
        <f>IF(B37&lt;&gt;"",IF(AND(Input!$H$35="Annual",MOD(B37,12)=0),Input!$J$35,IF(AND(Input!$H$35="1st Installment",B37=1),Input!$J$35,IF(Input!$H$35="Monthly",Input!$J$35,""))),"")</f>
        <v/>
      </c>
      <c r="L37" s="6" t="str">
        <f>IF(B37&lt;=$C$6,(_xlfn.IFNA(IF(AND(Input!$H$36="1st Installment",B37=1),Input!$I$36,IF(Input!$H$36="Monthly",VLOOKUP(A37,Input!$G$41:$L$46,6,0),IF(Input!$H$36="Annual",VLOOKUP('Auto Finance'!B37,Input!$K$41:$L$46,2,0),""))),""))," ")</f>
        <v/>
      </c>
      <c r="M37" s="6" t="str">
        <f>IF(B37&lt;&gt;"",IF(AND(Input!$H$37="Annual",MOD(B37,12)=0),Input!$J$37,IF(AND(Input!$H$37="1st Installment",B37=1),Input!$J$37,IF(Input!$H$37="Monthly",Input!$J$37,IF(AND(Input!$H$37="End of the loan",B37=Input!$E$39),Input!$J$37,"")))),"")</f>
        <v/>
      </c>
      <c r="N37" s="6">
        <f t="shared" si="0"/>
        <v>0</v>
      </c>
      <c r="O37" s="4">
        <f t="shared" si="1"/>
        <v>5688.8998620199272</v>
      </c>
      <c r="S37" s="9">
        <f t="shared" si="2"/>
        <v>45163</v>
      </c>
      <c r="T37" s="5">
        <f t="shared" si="7"/>
        <v>5688.9</v>
      </c>
      <c r="U37" s="136"/>
      <c r="V37" s="105"/>
      <c r="W37" s="96"/>
    </row>
    <row r="38" spans="1:23">
      <c r="A38" s="1">
        <f t="shared" si="11"/>
        <v>2</v>
      </c>
      <c r="B38" s="16">
        <f t="shared" si="8"/>
        <v>21</v>
      </c>
      <c r="C38" s="9">
        <f t="shared" si="4"/>
        <v>45194</v>
      </c>
      <c r="D38" s="6">
        <f>IFERROR(PPMT(Input!$E$35/12,B38,$C$6,Input!$E$34,-$C$13,0)," ")</f>
        <v>-4785.3445298714523</v>
      </c>
      <c r="E38" s="6">
        <f>IFERROR(IPMT(Input!$E$35/12,B38,$C$6,Input!$E$34,-$C$13,0)," ")</f>
        <v>-903.55533214847378</v>
      </c>
      <c r="F38" s="6">
        <f t="shared" si="9"/>
        <v>-96272.575572531336</v>
      </c>
      <c r="G38" s="6">
        <f t="shared" si="10"/>
        <v>-23194.321529887118</v>
      </c>
      <c r="H38" s="6">
        <f t="shared" si="5"/>
        <v>-5688.8998620199263</v>
      </c>
      <c r="I38" s="6">
        <f t="shared" si="6"/>
        <v>203727.42442746868</v>
      </c>
      <c r="J38" s="6" t="str">
        <f>IF(B38&lt;&gt;"",IF(AND(Input!$H$34="Annual",MOD(B38,12)=0),Input!$J$34,IF(AND(Input!$H$34="1st Installment",B38=1),Input!$J$34,IF(Input!$H$34="Monthly",Input!$J$34,""))),"")</f>
        <v/>
      </c>
      <c r="K38" s="6" t="str">
        <f>IF(B38&lt;&gt;"",IF(AND(Input!$H$35="Annual",MOD(B38,12)=0),Input!$J$35,IF(AND(Input!$H$35="1st Installment",B38=1),Input!$J$35,IF(Input!$H$35="Monthly",Input!$J$35,""))),"")</f>
        <v/>
      </c>
      <c r="L38" s="6" t="str">
        <f>IF(B38&lt;=$C$6,(_xlfn.IFNA(IF(AND(Input!$H$36="1st Installment",B38=1),Input!$I$36,IF(Input!$H$36="Monthly",VLOOKUP(A38,Input!$G$41:$L$46,6,0),IF(Input!$H$36="Annual",VLOOKUP('Auto Finance'!B38,Input!$K$41:$L$46,2,0),""))),""))," ")</f>
        <v/>
      </c>
      <c r="M38" s="6" t="str">
        <f>IF(B38&lt;&gt;"",IF(AND(Input!$H$37="Annual",MOD(B38,12)=0),Input!$J$37,IF(AND(Input!$H$37="1st Installment",B38=1),Input!$J$37,IF(Input!$H$37="Monthly",Input!$J$37,IF(AND(Input!$H$37="End of the loan",B38=Input!$E$39),Input!$J$37,"")))),"")</f>
        <v/>
      </c>
      <c r="N38" s="6">
        <f t="shared" si="0"/>
        <v>0</v>
      </c>
      <c r="O38" s="4">
        <f t="shared" si="1"/>
        <v>5688.8998620199263</v>
      </c>
      <c r="S38" s="9">
        <f t="shared" si="2"/>
        <v>45194</v>
      </c>
      <c r="T38" s="5">
        <f t="shared" si="7"/>
        <v>5688.9</v>
      </c>
      <c r="U38" s="136"/>
      <c r="V38" s="105"/>
      <c r="W38" s="96"/>
    </row>
    <row r="39" spans="1:23">
      <c r="A39" s="1">
        <f t="shared" si="11"/>
        <v>2</v>
      </c>
      <c r="B39" s="16">
        <f t="shared" si="8"/>
        <v>22</v>
      </c>
      <c r="C39" s="9">
        <f t="shared" si="4"/>
        <v>45224</v>
      </c>
      <c r="D39" s="6">
        <f>IFERROR(PPMT(Input!$E$35/12,B39,$C$6,Input!$E$34,-$C$13,0)," ")</f>
        <v>-4806.0810228342298</v>
      </c>
      <c r="E39" s="6">
        <f>IFERROR(IPMT(Input!$E$35/12,B39,$C$6,Input!$E$34,-$C$13,0)," ")</f>
        <v>-882.81883918569747</v>
      </c>
      <c r="F39" s="6">
        <f t="shared" si="9"/>
        <v>-101078.65659536557</v>
      </c>
      <c r="G39" s="6">
        <f t="shared" si="10"/>
        <v>-24077.140369072815</v>
      </c>
      <c r="H39" s="6">
        <f t="shared" si="5"/>
        <v>-5688.8998620199272</v>
      </c>
      <c r="I39" s="6">
        <f t="shared" si="6"/>
        <v>198921.34340463445</v>
      </c>
      <c r="J39" s="6" t="str">
        <f>IF(B39&lt;&gt;"",IF(AND(Input!$H$34="Annual",MOD(B39,12)=0),Input!$J$34,IF(AND(Input!$H$34="1st Installment",B39=1),Input!$J$34,IF(Input!$H$34="Monthly",Input!$J$34,""))),"")</f>
        <v/>
      </c>
      <c r="K39" s="6" t="str">
        <f>IF(B39&lt;&gt;"",IF(AND(Input!$H$35="Annual",MOD(B39,12)=0),Input!$J$35,IF(AND(Input!$H$35="1st Installment",B39=1),Input!$J$35,IF(Input!$H$35="Monthly",Input!$J$35,""))),"")</f>
        <v/>
      </c>
      <c r="L39" s="6" t="str">
        <f>IF(B39&lt;=$C$6,(_xlfn.IFNA(IF(AND(Input!$H$36="1st Installment",B39=1),Input!$I$36,IF(Input!$H$36="Monthly",VLOOKUP(A39,Input!$G$41:$L$46,6,0),IF(Input!$H$36="Annual",VLOOKUP('Auto Finance'!B39,Input!$K$41:$L$46,2,0),""))),""))," ")</f>
        <v/>
      </c>
      <c r="M39" s="6" t="str">
        <f>IF(B39&lt;&gt;"",IF(AND(Input!$H$37="Annual",MOD(B39,12)=0),Input!$J$37,IF(AND(Input!$H$37="1st Installment",B39=1),Input!$J$37,IF(Input!$H$37="Monthly",Input!$J$37,IF(AND(Input!$H$37="End of the loan",B39=Input!$E$39),Input!$J$37,"")))),"")</f>
        <v/>
      </c>
      <c r="N39" s="6">
        <f t="shared" si="0"/>
        <v>0</v>
      </c>
      <c r="O39" s="4">
        <f t="shared" si="1"/>
        <v>5688.8998620199272</v>
      </c>
      <c r="S39" s="9">
        <f t="shared" si="2"/>
        <v>45224</v>
      </c>
      <c r="T39" s="5">
        <f t="shared" si="7"/>
        <v>5688.9</v>
      </c>
      <c r="U39" s="136"/>
      <c r="V39" s="105"/>
      <c r="W39" s="96"/>
    </row>
    <row r="40" spans="1:23">
      <c r="A40" s="1">
        <f t="shared" si="11"/>
        <v>2</v>
      </c>
      <c r="B40" s="16">
        <f t="shared" si="8"/>
        <v>23</v>
      </c>
      <c r="C40" s="9">
        <f t="shared" si="4"/>
        <v>45255</v>
      </c>
      <c r="D40" s="6">
        <f>IFERROR(PPMT(Input!$E$35/12,B40,$C$6,Input!$E$34,-$C$13,0)," ")</f>
        <v>-4826.907373933178</v>
      </c>
      <c r="E40" s="6">
        <f>IFERROR(IPMT(Input!$E$35/12,B40,$C$6,Input!$E$34,-$C$13,0)," ")</f>
        <v>-861.99248808674906</v>
      </c>
      <c r="F40" s="6">
        <f t="shared" si="9"/>
        <v>-105905.56396929875</v>
      </c>
      <c r="G40" s="6">
        <f t="shared" si="10"/>
        <v>-24939.132857159562</v>
      </c>
      <c r="H40" s="6">
        <f t="shared" si="5"/>
        <v>-5688.8998620199272</v>
      </c>
      <c r="I40" s="6">
        <f t="shared" si="6"/>
        <v>194094.43603070127</v>
      </c>
      <c r="J40" s="6" t="str">
        <f>IF(B40&lt;&gt;"",IF(AND(Input!$H$34="Annual",MOD(B40,12)=0),Input!$J$34,IF(AND(Input!$H$34="1st Installment",B40=1),Input!$J$34,IF(Input!$H$34="Monthly",Input!$J$34,""))),"")</f>
        <v/>
      </c>
      <c r="K40" s="6" t="str">
        <f>IF(B40&lt;&gt;"",IF(AND(Input!$H$35="Annual",MOD(B40,12)=0),Input!$J$35,IF(AND(Input!$H$35="1st Installment",B40=1),Input!$J$35,IF(Input!$H$35="Monthly",Input!$J$35,""))),"")</f>
        <v/>
      </c>
      <c r="L40" s="6" t="str">
        <f>IF(B40&lt;=$C$6,(_xlfn.IFNA(IF(AND(Input!$H$36="1st Installment",B40=1),Input!$I$36,IF(Input!$H$36="Monthly",VLOOKUP(A40,Input!$G$41:$L$46,6,0),IF(Input!$H$36="Annual",VLOOKUP('Auto Finance'!B40,Input!$K$41:$L$46,2,0),""))),""))," ")</f>
        <v/>
      </c>
      <c r="M40" s="6" t="str">
        <f>IF(B40&lt;&gt;"",IF(AND(Input!$H$37="Annual",MOD(B40,12)=0),Input!$J$37,IF(AND(Input!$H$37="1st Installment",B40=1),Input!$J$37,IF(Input!$H$37="Monthly",Input!$J$37,IF(AND(Input!$H$37="End of the loan",B40=Input!$E$39),Input!$J$37,"")))),"")</f>
        <v/>
      </c>
      <c r="N40" s="6">
        <f t="shared" si="0"/>
        <v>0</v>
      </c>
      <c r="O40" s="4">
        <f t="shared" si="1"/>
        <v>5688.8998620199272</v>
      </c>
      <c r="S40" s="9">
        <f t="shared" si="2"/>
        <v>45255</v>
      </c>
      <c r="T40" s="5">
        <f t="shared" si="7"/>
        <v>5688.9</v>
      </c>
      <c r="U40" s="136"/>
      <c r="V40" s="105"/>
      <c r="W40" s="96"/>
    </row>
    <row r="41" spans="1:23">
      <c r="A41" s="1">
        <f t="shared" si="11"/>
        <v>2</v>
      </c>
      <c r="B41" s="16">
        <f t="shared" si="8"/>
        <v>24</v>
      </c>
      <c r="C41" s="9">
        <f t="shared" si="4"/>
        <v>45285</v>
      </c>
      <c r="D41" s="6">
        <f>IFERROR(PPMT(Input!$E$35/12,B41,$C$6,Input!$E$34,-$C$13,0)," ")</f>
        <v>-4847.823972553555</v>
      </c>
      <c r="E41" s="6">
        <f>IFERROR(IPMT(Input!$E$35/12,B41,$C$6,Input!$E$34,-$C$13,0)," ")</f>
        <v>-841.07588946637202</v>
      </c>
      <c r="F41" s="6">
        <f t="shared" si="9"/>
        <v>-110753.3879418523</v>
      </c>
      <c r="G41" s="6">
        <f t="shared" si="10"/>
        <v>-25780.208746625933</v>
      </c>
      <c r="H41" s="6">
        <f t="shared" si="5"/>
        <v>-5688.8998620199272</v>
      </c>
      <c r="I41" s="6">
        <f t="shared" si="6"/>
        <v>189246.6120581477</v>
      </c>
      <c r="J41" s="6" t="str">
        <f>IF(B41&lt;&gt;"",IF(AND(Input!$H$34="Annual",MOD(B41,12)=0),Input!$J$34,IF(AND(Input!$H$34="1st Installment",B41=1),Input!$J$34,IF(Input!$H$34="Monthly",Input!$J$34,""))),"")</f>
        <v/>
      </c>
      <c r="K41" s="6">
        <f>IF(B41&lt;&gt;"",IF(AND(Input!$H$35="Annual",MOD(B41,12)=0),Input!$J$35,IF(AND(Input!$H$35="1st Installment",B41=1),Input!$J$35,IF(Input!$H$35="Monthly",Input!$J$35,""))),"")</f>
        <v>0</v>
      </c>
      <c r="L41" s="6" t="str">
        <f>IF(B41&lt;=$C$6,(_xlfn.IFNA(IF(AND(Input!$H$36="1st Installment",B41=1),Input!$I$36,IF(Input!$H$36="Monthly",VLOOKUP(A41,Input!$G$41:$L$46,6,0),IF(Input!$H$36="Annual",VLOOKUP('Auto Finance'!B41,Input!$K$41:$L$46,2,0),""))),""))," ")</f>
        <v/>
      </c>
      <c r="M41" s="6" t="str">
        <f>IF(B41&lt;&gt;"",IF(AND(Input!$H$37="Annual",MOD(B41,12)=0),Input!$J$37,IF(AND(Input!$H$37="1st Installment",B41=1),Input!$J$37,IF(Input!$H$37="Monthly",Input!$J$37,IF(AND(Input!$H$37="End of the loan",B41=Input!$E$39),Input!$J$37,"")))),"")</f>
        <v/>
      </c>
      <c r="N41" s="6">
        <f t="shared" si="0"/>
        <v>0</v>
      </c>
      <c r="O41" s="4">
        <f t="shared" si="1"/>
        <v>5688.8998620199272</v>
      </c>
      <c r="S41" s="9">
        <f t="shared" si="2"/>
        <v>45285</v>
      </c>
      <c r="T41" s="5">
        <f t="shared" si="7"/>
        <v>5688.9</v>
      </c>
      <c r="U41" s="136"/>
      <c r="V41" s="105"/>
      <c r="W41" s="96"/>
    </row>
    <row r="42" spans="1:23">
      <c r="A42" s="1">
        <f>IF(B42&lt;&gt;"",3,"")</f>
        <v>3</v>
      </c>
      <c r="B42" s="16">
        <f t="shared" si="8"/>
        <v>25</v>
      </c>
      <c r="C42" s="9">
        <f t="shared" si="4"/>
        <v>45316</v>
      </c>
      <c r="D42" s="6">
        <f>IFERROR(PPMT(Input!$E$35/12,B42,$C$6,Input!$E$34,-$C$13,0)," ")</f>
        <v>-4868.8312097679536</v>
      </c>
      <c r="E42" s="6">
        <f>IFERROR(IPMT(Input!$E$35/12,B42,$C$6,Input!$E$34,-$C$13,0)," ")</f>
        <v>-820.0686522519735</v>
      </c>
      <c r="F42" s="6">
        <f t="shared" si="9"/>
        <v>-115622.21915162026</v>
      </c>
      <c r="G42" s="6">
        <f t="shared" si="10"/>
        <v>-26600.277398877904</v>
      </c>
      <c r="H42" s="6">
        <f t="shared" si="5"/>
        <v>-5688.8998620199272</v>
      </c>
      <c r="I42" s="6">
        <f t="shared" si="6"/>
        <v>184377.78084837974</v>
      </c>
      <c r="J42" s="6" t="str">
        <f>IF(B42&lt;&gt;"",IF(AND(Input!$H$34="Annual",MOD(B42,12)=0),Input!$J$34,IF(AND(Input!$H$34="1st Installment",B42=1),Input!$J$34,IF(Input!$H$34="Monthly",Input!$J$34,""))),"")</f>
        <v/>
      </c>
      <c r="K42" s="6" t="str">
        <f>IF(B42&lt;&gt;"",IF(AND(Input!$H$35="Annual",MOD(B42,12)=0),Input!$J$35,IF(AND(Input!$H$35="1st Installment",B42=1),Input!$J$35,IF(Input!$H$35="Monthly",Input!$J$35,""))),"")</f>
        <v/>
      </c>
      <c r="L42" s="6" t="str">
        <f>IF(B42&lt;=$C$6,(_xlfn.IFNA(IF(AND(Input!$H$36="1st Installment",B42=1),Input!$I$36,IF(Input!$H$36="Monthly",VLOOKUP(A42,Input!$G$41:$L$46,6,0),IF(Input!$H$36="Annual",VLOOKUP('Auto Finance'!B42,Input!$K$41:$L$46,2,0),""))),""))," ")</f>
        <v/>
      </c>
      <c r="M42" s="6" t="str">
        <f>IF(B42&lt;&gt;"",IF(AND(Input!$H$37="Annual",MOD(B42,12)=0),Input!$J$37,IF(AND(Input!$H$37="1st Installment",B42=1),Input!$J$37,IF(Input!$H$37="Monthly",Input!$J$37,IF(AND(Input!$H$37="End of the loan",B42=Input!$E$39),Input!$J$37,"")))),"")</f>
        <v/>
      </c>
      <c r="N42" s="6">
        <f t="shared" si="0"/>
        <v>0</v>
      </c>
      <c r="O42" s="4">
        <f t="shared" si="1"/>
        <v>5688.8998620199272</v>
      </c>
      <c r="S42" s="9">
        <f t="shared" si="2"/>
        <v>45316</v>
      </c>
      <c r="T42" s="5">
        <f t="shared" si="7"/>
        <v>5688.9</v>
      </c>
      <c r="U42" s="136"/>
      <c r="V42" s="105"/>
      <c r="W42" s="96"/>
    </row>
    <row r="43" spans="1:23">
      <c r="A43" s="1">
        <f t="shared" ref="A43:A53" si="12">IF(B43&lt;&gt;"",3,"")</f>
        <v>3</v>
      </c>
      <c r="B43" s="16">
        <f t="shared" si="8"/>
        <v>26</v>
      </c>
      <c r="C43" s="9">
        <f t="shared" si="4"/>
        <v>45347</v>
      </c>
      <c r="D43" s="6">
        <f>IFERROR(PPMT(Input!$E$35/12,B43,$C$6,Input!$E$34,-$C$13,0)," ")</f>
        <v>-4889.9294783436144</v>
      </c>
      <c r="E43" s="6">
        <f>IFERROR(IPMT(Input!$E$35/12,B43,$C$6,Input!$E$34,-$C$13,0)," ")</f>
        <v>-798.97038367631205</v>
      </c>
      <c r="F43" s="6">
        <f t="shared" si="9"/>
        <v>-120512.14862996388</v>
      </c>
      <c r="G43" s="6">
        <f t="shared" si="10"/>
        <v>-27399.247782554216</v>
      </c>
      <c r="H43" s="6">
        <f t="shared" si="5"/>
        <v>-5688.8998620199263</v>
      </c>
      <c r="I43" s="6">
        <f t="shared" si="6"/>
        <v>179487.85137003614</v>
      </c>
      <c r="J43" s="6" t="str">
        <f>IF(B43&lt;&gt;"",IF(AND(Input!$H$34="Annual",MOD(B43,12)=0),Input!$J$34,IF(AND(Input!$H$34="1st Installment",B43=1),Input!$J$34,IF(Input!$H$34="Monthly",Input!$J$34,""))),"")</f>
        <v/>
      </c>
      <c r="K43" s="6" t="str">
        <f>IF(B43&lt;&gt;"",IF(AND(Input!$H$35="Annual",MOD(B43,12)=0),Input!$J$35,IF(AND(Input!$H$35="1st Installment",B43=1),Input!$J$35,IF(Input!$H$35="Monthly",Input!$J$35,""))),"")</f>
        <v/>
      </c>
      <c r="L43" s="6" t="str">
        <f>IF(B43&lt;=$C$6,(_xlfn.IFNA(IF(AND(Input!$H$36="1st Installment",B43=1),Input!$I$36,IF(Input!$H$36="Monthly",VLOOKUP(A43,Input!$G$41:$L$46,6,0),IF(Input!$H$36="Annual",VLOOKUP('Auto Finance'!B43,Input!$K$41:$L$46,2,0),""))),""))," ")</f>
        <v/>
      </c>
      <c r="M43" s="6" t="str">
        <f>IF(B43&lt;&gt;"",IF(AND(Input!$H$37="Annual",MOD(B43,12)=0),Input!$J$37,IF(AND(Input!$H$37="1st Installment",B43=1),Input!$J$37,IF(Input!$H$37="Monthly",Input!$J$37,IF(AND(Input!$H$37="End of the loan",B43=Input!$E$39),Input!$J$37,"")))),"")</f>
        <v/>
      </c>
      <c r="N43" s="6">
        <f t="shared" si="0"/>
        <v>0</v>
      </c>
      <c r="O43" s="4">
        <f t="shared" si="1"/>
        <v>5688.8998620199263</v>
      </c>
      <c r="S43" s="9">
        <f t="shared" si="2"/>
        <v>45347</v>
      </c>
      <c r="T43" s="5">
        <f t="shared" si="7"/>
        <v>5688.9</v>
      </c>
      <c r="U43" s="136"/>
      <c r="V43" s="105"/>
      <c r="W43" s="96"/>
    </row>
    <row r="44" spans="1:23">
      <c r="A44" s="1">
        <f t="shared" si="12"/>
        <v>3</v>
      </c>
      <c r="B44" s="16">
        <f t="shared" si="8"/>
        <v>27</v>
      </c>
      <c r="C44" s="9">
        <f t="shared" si="4"/>
        <v>45376</v>
      </c>
      <c r="D44" s="6">
        <f>IFERROR(PPMT(Input!$E$35/12,B44,$C$6,Input!$E$34,-$C$13,0)," ")</f>
        <v>-4911.1191727497699</v>
      </c>
      <c r="E44" s="6">
        <f>IFERROR(IPMT(Input!$E$35/12,B44,$C$6,Input!$E$34,-$C$13,0)," ")</f>
        <v>-777.78068927015647</v>
      </c>
      <c r="F44" s="6">
        <f t="shared" si="9"/>
        <v>-125423.26780271364</v>
      </c>
      <c r="G44" s="6">
        <f t="shared" si="10"/>
        <v>-28177.028471824371</v>
      </c>
      <c r="H44" s="6">
        <f t="shared" si="5"/>
        <v>-5688.8998620199263</v>
      </c>
      <c r="I44" s="6">
        <f t="shared" si="6"/>
        <v>174576.73219728636</v>
      </c>
      <c r="J44" s="6" t="str">
        <f>IF(B44&lt;&gt;"",IF(AND(Input!$H$34="Annual",MOD(B44,12)=0),Input!$J$34,IF(AND(Input!$H$34="1st Installment",B44=1),Input!$J$34,IF(Input!$H$34="Monthly",Input!$J$34,""))),"")</f>
        <v/>
      </c>
      <c r="K44" s="6" t="str">
        <f>IF(B44&lt;&gt;"",IF(AND(Input!$H$35="Annual",MOD(B44,12)=0),Input!$J$35,IF(AND(Input!$H$35="1st Installment",B44=1),Input!$J$35,IF(Input!$H$35="Monthly",Input!$J$35,""))),"")</f>
        <v/>
      </c>
      <c r="L44" s="6" t="str">
        <f>IF(B44&lt;=$C$6,(_xlfn.IFNA(IF(AND(Input!$H$36="1st Installment",B44=1),Input!$I$36,IF(Input!$H$36="Monthly",VLOOKUP(A44,Input!$G$41:$L$46,6,0),IF(Input!$H$36="Annual",VLOOKUP('Auto Finance'!B44,Input!$K$41:$L$46,2,0),""))),""))," ")</f>
        <v/>
      </c>
      <c r="M44" s="6" t="str">
        <f>IF(B44&lt;&gt;"",IF(AND(Input!$H$37="Annual",MOD(B44,12)=0),Input!$J$37,IF(AND(Input!$H$37="1st Installment",B44=1),Input!$J$37,IF(Input!$H$37="Monthly",Input!$J$37,IF(AND(Input!$H$37="End of the loan",B44=Input!$E$39),Input!$J$37,"")))),"")</f>
        <v/>
      </c>
      <c r="N44" s="6">
        <f t="shared" si="0"/>
        <v>0</v>
      </c>
      <c r="O44" s="4">
        <f t="shared" si="1"/>
        <v>5688.8998620199263</v>
      </c>
      <c r="S44" s="9">
        <f t="shared" si="2"/>
        <v>45376</v>
      </c>
      <c r="T44" s="5">
        <f t="shared" si="7"/>
        <v>5688.9</v>
      </c>
      <c r="U44" s="136"/>
      <c r="V44" s="105"/>
      <c r="W44" s="96"/>
    </row>
    <row r="45" spans="1:23">
      <c r="A45" s="1">
        <f t="shared" si="12"/>
        <v>3</v>
      </c>
      <c r="B45" s="16">
        <f t="shared" si="8"/>
        <v>28</v>
      </c>
      <c r="C45" s="9">
        <f t="shared" si="4"/>
        <v>45407</v>
      </c>
      <c r="D45" s="6">
        <f>IFERROR(PPMT(Input!$E$35/12,B45,$C$6,Input!$E$34,-$C$13,0)," ")</f>
        <v>-4932.4006891650197</v>
      </c>
      <c r="E45" s="6">
        <f>IFERROR(IPMT(Input!$E$35/12,B45,$C$6,Input!$E$34,-$C$13,0)," ")</f>
        <v>-756.49917285490744</v>
      </c>
      <c r="F45" s="6">
        <f t="shared" si="9"/>
        <v>-130355.66849187866</v>
      </c>
      <c r="G45" s="6">
        <f t="shared" si="10"/>
        <v>-28933.527644679278</v>
      </c>
      <c r="H45" s="6">
        <f t="shared" si="5"/>
        <v>-5688.8998620199272</v>
      </c>
      <c r="I45" s="6">
        <f t="shared" si="6"/>
        <v>169644.33150812134</v>
      </c>
      <c r="J45" s="6" t="str">
        <f>IF(B45&lt;&gt;"",IF(AND(Input!$H$34="Annual",MOD(B45,12)=0),Input!$J$34,IF(AND(Input!$H$34="1st Installment",B45=1),Input!$J$34,IF(Input!$H$34="Monthly",Input!$J$34,""))),"")</f>
        <v/>
      </c>
      <c r="K45" s="6" t="str">
        <f>IF(B45&lt;&gt;"",IF(AND(Input!$H$35="Annual",MOD(B45,12)=0),Input!$J$35,IF(AND(Input!$H$35="1st Installment",B45=1),Input!$J$35,IF(Input!$H$35="Monthly",Input!$J$35,""))),"")</f>
        <v/>
      </c>
      <c r="L45" s="6" t="str">
        <f>IF(B45&lt;=$C$6,(_xlfn.IFNA(IF(AND(Input!$H$36="1st Installment",B45=1),Input!$I$36,IF(Input!$H$36="Monthly",VLOOKUP(A45,Input!$G$41:$L$46,6,0),IF(Input!$H$36="Annual",VLOOKUP('Auto Finance'!B45,Input!$K$41:$L$46,2,0),""))),""))," ")</f>
        <v/>
      </c>
      <c r="M45" s="6" t="str">
        <f>IF(B45&lt;&gt;"",IF(AND(Input!$H$37="Annual",MOD(B45,12)=0),Input!$J$37,IF(AND(Input!$H$37="1st Installment",B45=1),Input!$J$37,IF(Input!$H$37="Monthly",Input!$J$37,IF(AND(Input!$H$37="End of the loan",B45=Input!$E$39),Input!$J$37,"")))),"")</f>
        <v/>
      </c>
      <c r="N45" s="6">
        <f t="shared" si="0"/>
        <v>0</v>
      </c>
      <c r="O45" s="4">
        <f t="shared" si="1"/>
        <v>5688.8998620199272</v>
      </c>
      <c r="S45" s="9">
        <f t="shared" si="2"/>
        <v>45407</v>
      </c>
      <c r="T45" s="5">
        <f t="shared" si="7"/>
        <v>5688.9</v>
      </c>
      <c r="U45" s="136"/>
      <c r="V45" s="105"/>
      <c r="W45" s="96"/>
    </row>
    <row r="46" spans="1:23">
      <c r="A46" s="1">
        <f t="shared" si="12"/>
        <v>3</v>
      </c>
      <c r="B46" s="16">
        <f t="shared" si="8"/>
        <v>29</v>
      </c>
      <c r="C46" s="9">
        <f t="shared" si="4"/>
        <v>45437</v>
      </c>
      <c r="D46" s="6">
        <f>IFERROR(PPMT(Input!$E$35/12,B46,$C$6,Input!$E$34,-$C$13,0)," ")</f>
        <v>-4953.7744254847339</v>
      </c>
      <c r="E46" s="6">
        <f>IFERROR(IPMT(Input!$E$35/12,B46,$C$6,Input!$E$34,-$C$13,0)," ")</f>
        <v>-735.12543653519242</v>
      </c>
      <c r="F46" s="6">
        <f t="shared" si="9"/>
        <v>-135309.4429173634</v>
      </c>
      <c r="G46" s="6">
        <f t="shared" si="10"/>
        <v>-29668.65308121447</v>
      </c>
      <c r="H46" s="6">
        <f t="shared" si="5"/>
        <v>-5688.8998620199263</v>
      </c>
      <c r="I46" s="6">
        <f t="shared" si="6"/>
        <v>164690.5570826366</v>
      </c>
      <c r="J46" s="6" t="str">
        <f>IF(B46&lt;&gt;"",IF(AND(Input!$H$34="Annual",MOD(B46,12)=0),Input!$J$34,IF(AND(Input!$H$34="1st Installment",B46=1),Input!$J$34,IF(Input!$H$34="Monthly",Input!$J$34,""))),"")</f>
        <v/>
      </c>
      <c r="K46" s="6" t="str">
        <f>IF(B46&lt;&gt;"",IF(AND(Input!$H$35="Annual",MOD(B46,12)=0),Input!$J$35,IF(AND(Input!$H$35="1st Installment",B46=1),Input!$J$35,IF(Input!$H$35="Monthly",Input!$J$35,""))),"")</f>
        <v/>
      </c>
      <c r="L46" s="6" t="str">
        <f>IF(B46&lt;=$C$6,(_xlfn.IFNA(IF(AND(Input!$H$36="1st Installment",B46=1),Input!$I$36,IF(Input!$H$36="Monthly",VLOOKUP(A46,Input!$G$41:$L$46,6,0),IF(Input!$H$36="Annual",VLOOKUP('Auto Finance'!B46,Input!$K$41:$L$46,2,0),""))),""))," ")</f>
        <v/>
      </c>
      <c r="M46" s="6" t="str">
        <f>IF(B46&lt;&gt;"",IF(AND(Input!$H$37="Annual",MOD(B46,12)=0),Input!$J$37,IF(AND(Input!$H$37="1st Installment",B46=1),Input!$J$37,IF(Input!$H$37="Monthly",Input!$J$37,IF(AND(Input!$H$37="End of the loan",B46=Input!$E$39),Input!$J$37,"")))),"")</f>
        <v/>
      </c>
      <c r="N46" s="6">
        <f t="shared" si="0"/>
        <v>0</v>
      </c>
      <c r="O46" s="4">
        <f t="shared" si="1"/>
        <v>5688.8998620199263</v>
      </c>
      <c r="S46" s="9">
        <f t="shared" si="2"/>
        <v>45437</v>
      </c>
      <c r="T46" s="5">
        <f t="shared" si="7"/>
        <v>5688.9</v>
      </c>
      <c r="U46" s="136"/>
      <c r="V46" s="105"/>
      <c r="W46" s="96"/>
    </row>
    <row r="47" spans="1:23">
      <c r="A47" s="1">
        <f t="shared" si="12"/>
        <v>3</v>
      </c>
      <c r="B47" s="16">
        <f t="shared" si="8"/>
        <v>30</v>
      </c>
      <c r="C47" s="9">
        <f t="shared" si="4"/>
        <v>45468</v>
      </c>
      <c r="D47" s="6">
        <f>IFERROR(PPMT(Input!$E$35/12,B47,$C$6,Input!$E$34,-$C$13,0)," ")</f>
        <v>-4975.2407813285008</v>
      </c>
      <c r="E47" s="6">
        <f>IFERROR(IPMT(Input!$E$35/12,B47,$C$6,Input!$E$34,-$C$13,0)," ")</f>
        <v>-713.65908069142529</v>
      </c>
      <c r="F47" s="6">
        <f t="shared" si="9"/>
        <v>-140284.68369869189</v>
      </c>
      <c r="G47" s="6">
        <f t="shared" si="10"/>
        <v>-30382.312161905895</v>
      </c>
      <c r="H47" s="6">
        <f t="shared" si="5"/>
        <v>-5688.8998620199263</v>
      </c>
      <c r="I47" s="6">
        <f t="shared" si="6"/>
        <v>159715.31630130811</v>
      </c>
      <c r="J47" s="6" t="str">
        <f>IF(B47&lt;&gt;"",IF(AND(Input!$H$34="Annual",MOD(B47,12)=0),Input!$J$34,IF(AND(Input!$H$34="1st Installment",B47=1),Input!$J$34,IF(Input!$H$34="Monthly",Input!$J$34,""))),"")</f>
        <v/>
      </c>
      <c r="K47" s="6" t="str">
        <f>IF(B47&lt;&gt;"",IF(AND(Input!$H$35="Annual",MOD(B47,12)=0),Input!$J$35,IF(AND(Input!$H$35="1st Installment",B47=1),Input!$J$35,IF(Input!$H$35="Monthly",Input!$J$35,""))),"")</f>
        <v/>
      </c>
      <c r="L47" s="6" t="str">
        <f>IF(B47&lt;=$C$6,(_xlfn.IFNA(IF(AND(Input!$H$36="1st Installment",B47=1),Input!$I$36,IF(Input!$H$36="Monthly",VLOOKUP(A47,Input!$G$41:$L$46,6,0),IF(Input!$H$36="Annual",VLOOKUP('Auto Finance'!B47,Input!$K$41:$L$46,2,0),""))),""))," ")</f>
        <v/>
      </c>
      <c r="M47" s="6" t="str">
        <f>IF(B47&lt;&gt;"",IF(AND(Input!$H$37="Annual",MOD(B47,12)=0),Input!$J$37,IF(AND(Input!$H$37="1st Installment",B47=1),Input!$J$37,IF(Input!$H$37="Monthly",Input!$J$37,IF(AND(Input!$H$37="End of the loan",B47=Input!$E$39),Input!$J$37,"")))),"")</f>
        <v/>
      </c>
      <c r="N47" s="6">
        <f t="shared" si="0"/>
        <v>0</v>
      </c>
      <c r="O47" s="4">
        <f t="shared" si="1"/>
        <v>5688.8998620199263</v>
      </c>
      <c r="S47" s="9">
        <f t="shared" si="2"/>
        <v>45468</v>
      </c>
      <c r="T47" s="5">
        <f t="shared" si="7"/>
        <v>5688.9</v>
      </c>
      <c r="U47" s="136"/>
      <c r="V47" s="105"/>
      <c r="W47" s="96"/>
    </row>
    <row r="48" spans="1:23">
      <c r="A48" s="1">
        <f t="shared" si="12"/>
        <v>3</v>
      </c>
      <c r="B48" s="16">
        <f t="shared" si="8"/>
        <v>31</v>
      </c>
      <c r="C48" s="9">
        <f t="shared" si="4"/>
        <v>45498</v>
      </c>
      <c r="D48" s="6">
        <f>IFERROR(PPMT(Input!$E$35/12,B48,$C$6,Input!$E$34,-$C$13,0)," ")</f>
        <v>-4996.800158047592</v>
      </c>
      <c r="E48" s="6">
        <f>IFERROR(IPMT(Input!$E$35/12,B48,$C$6,Input!$E$34,-$C$13,0)," ")</f>
        <v>-692.09970397233508</v>
      </c>
      <c r="F48" s="6">
        <f t="shared" si="9"/>
        <v>-145281.48385673948</v>
      </c>
      <c r="G48" s="6">
        <f t="shared" si="10"/>
        <v>-31074.411865878228</v>
      </c>
      <c r="H48" s="6">
        <f t="shared" si="5"/>
        <v>-5688.8998620199272</v>
      </c>
      <c r="I48" s="6">
        <f>+IFERROR($C$8+F48,"")</f>
        <v>154718.51614326052</v>
      </c>
      <c r="J48" s="6" t="str">
        <f>IF(B48&lt;&gt;"",IF(AND(Input!$H$34="Annual",MOD(B48,12)=0),Input!$J$34,IF(AND(Input!$H$34="1st Installment",B48=1),Input!$J$34,IF(Input!$H$34="Monthly",Input!$J$34,""))),"")</f>
        <v/>
      </c>
      <c r="K48" s="6" t="str">
        <f>IF(B48&lt;&gt;"",IF(AND(Input!$H$35="Annual",MOD(B48,12)=0),Input!$J$35,IF(AND(Input!$H$35="1st Installment",B48=1),Input!$J$35,IF(Input!$H$35="Monthly",Input!$J$35,""))),"")</f>
        <v/>
      </c>
      <c r="L48" s="6" t="str">
        <f>IF(B48&lt;=$C$6,(_xlfn.IFNA(IF(AND(Input!$H$36="1st Installment",B48=1),Input!$I$36,IF(Input!$H$36="Monthly",VLOOKUP(A48,Input!$G$41:$L$46,6,0),IF(Input!$H$36="Annual",VLOOKUP('Auto Finance'!B48,Input!$K$41:$L$46,2,0),""))),""))," ")</f>
        <v/>
      </c>
      <c r="M48" s="6" t="str">
        <f>IF(B48&lt;&gt;"",IF(AND(Input!$H$37="Annual",MOD(B48,12)=0),Input!$J$37,IF(AND(Input!$H$37="1st Installment",B48=1),Input!$J$37,IF(Input!$H$37="Monthly",Input!$J$37,IF(AND(Input!$H$37="End of the loan",B48=Input!$E$39),Input!$J$37,"")))),"")</f>
        <v/>
      </c>
      <c r="N48" s="6">
        <f t="shared" si="0"/>
        <v>0</v>
      </c>
      <c r="O48" s="4">
        <f>IF(B48&lt;&gt;"",(-H48+N48),"")</f>
        <v>5688.8998620199272</v>
      </c>
      <c r="S48" s="9">
        <f t="shared" si="2"/>
        <v>45498</v>
      </c>
      <c r="T48" s="5">
        <f t="shared" si="7"/>
        <v>5688.9</v>
      </c>
      <c r="U48" s="136"/>
      <c r="V48" s="105"/>
    </row>
    <row r="49" spans="1:22">
      <c r="A49" s="1">
        <f t="shared" si="12"/>
        <v>3</v>
      </c>
      <c r="B49" s="16">
        <f t="shared" si="8"/>
        <v>32</v>
      </c>
      <c r="C49" s="9">
        <f t="shared" si="4"/>
        <v>45529</v>
      </c>
      <c r="D49" s="6">
        <f>IFERROR(PPMT(Input!$E$35/12,B49,$C$6,Input!$E$34,-$C$13,0)," ")</f>
        <v>-5018.4529587324641</v>
      </c>
      <c r="E49" s="6">
        <f>IFERROR(IPMT(Input!$E$35/12,B49,$C$6,Input!$E$34,-$C$13,0)," ")</f>
        <v>-670.44690328746219</v>
      </c>
      <c r="F49" s="6">
        <f t="shared" si="9"/>
        <v>-150299.93681547194</v>
      </c>
      <c r="G49" s="6">
        <f t="shared" si="10"/>
        <v>-31744.85876916569</v>
      </c>
      <c r="H49" s="6">
        <f t="shared" si="5"/>
        <v>-5688.8998620199263</v>
      </c>
      <c r="I49" s="6">
        <f t="shared" si="6"/>
        <v>149700.06318452806</v>
      </c>
      <c r="J49" s="6" t="str">
        <f>IF(B49&lt;&gt;"",IF(AND(Input!$H$34="Annual",MOD(B49,12)=0),Input!$J$34,IF(AND(Input!$H$34="1st Installment",B49=1),Input!$J$34,IF(Input!$H$34="Monthly",Input!$J$34,""))),"")</f>
        <v/>
      </c>
      <c r="K49" s="6" t="str">
        <f>IF(B49&lt;&gt;"",IF(AND(Input!$H$35="Annual",MOD(B49,12)=0),Input!$J$35,IF(AND(Input!$H$35="1st Installment",B49=1),Input!$J$35,IF(Input!$H$35="Monthly",Input!$J$35,""))),"")</f>
        <v/>
      </c>
      <c r="L49" s="6" t="str">
        <f>IF(B49&lt;=$C$6,(_xlfn.IFNA(IF(AND(Input!$H$36="1st Installment",B49=1),Input!$I$36,IF(Input!$H$36="Monthly",VLOOKUP(A49,Input!$G$41:$L$46,6,0),IF(Input!$H$36="Annual",VLOOKUP('Auto Finance'!B49,Input!$K$41:$L$46,2,0),""))),""))," ")</f>
        <v/>
      </c>
      <c r="M49" s="6" t="str">
        <f>IF(B49&lt;&gt;"",IF(AND(Input!$H$37="Annual",MOD(B49,12)=0),Input!$J$37,IF(AND(Input!$H$37="1st Installment",B49=1),Input!$J$37,IF(Input!$H$37="Monthly",Input!$J$37,IF(AND(Input!$H$37="End of the loan",B49=Input!$E$39),Input!$J$37,"")))),"")</f>
        <v/>
      </c>
      <c r="N49" s="6">
        <f t="shared" ref="N49:N73" si="13">IF(B49&lt;&gt;"",SUM(J49:M49),"")</f>
        <v>0</v>
      </c>
      <c r="O49" s="4">
        <f t="shared" si="1"/>
        <v>5688.8998620199263</v>
      </c>
      <c r="S49" s="9">
        <f t="shared" si="2"/>
        <v>45529</v>
      </c>
      <c r="T49" s="5">
        <f t="shared" si="7"/>
        <v>5688.9</v>
      </c>
      <c r="U49" s="136"/>
      <c r="V49" s="105"/>
    </row>
    <row r="50" spans="1:22">
      <c r="A50" s="1">
        <f t="shared" si="12"/>
        <v>3</v>
      </c>
      <c r="B50" s="16">
        <f t="shared" si="8"/>
        <v>33</v>
      </c>
      <c r="C50" s="9">
        <f t="shared" si="4"/>
        <v>45560</v>
      </c>
      <c r="D50" s="6">
        <f>IFERROR(PPMT(Input!$E$35/12,B50,$C$6,Input!$E$34,-$C$13,0)," ")</f>
        <v>-5040.1995882203055</v>
      </c>
      <c r="E50" s="6">
        <f>IFERROR(IPMT(Input!$E$35/12,B50,$C$6,Input!$E$34,-$C$13,0)," ")</f>
        <v>-648.70027379962141</v>
      </c>
      <c r="F50" s="6">
        <f t="shared" si="9"/>
        <v>-155340.13640369225</v>
      </c>
      <c r="G50" s="6">
        <f t="shared" si="10"/>
        <v>-32393.559042965313</v>
      </c>
      <c r="H50" s="6">
        <f t="shared" si="5"/>
        <v>-5688.8998620199272</v>
      </c>
      <c r="I50" s="6">
        <f t="shared" si="6"/>
        <v>144659.86359630775</v>
      </c>
      <c r="J50" s="6" t="str">
        <f>IF(B50&lt;&gt;"",IF(AND(Input!$H$34="Annual",MOD(B50,12)=0),Input!$J$34,IF(AND(Input!$H$34="1st Installment",B50=1),Input!$J$34,IF(Input!$H$34="Monthly",Input!$J$34,""))),"")</f>
        <v/>
      </c>
      <c r="K50" s="6" t="str">
        <f>IF(B50&lt;&gt;"",IF(AND(Input!$H$35="Annual",MOD(B50,12)=0),Input!$J$35,IF(AND(Input!$H$35="1st Installment",B50=1),Input!$J$35,IF(Input!$H$35="Monthly",Input!$J$35,""))),"")</f>
        <v/>
      </c>
      <c r="L50" s="6" t="str">
        <f>IF(B50&lt;=$C$6,(_xlfn.IFNA(IF(AND(Input!$H$36="1st Installment",B50=1),Input!$I$36,IF(Input!$H$36="Monthly",VLOOKUP(A50,Input!$G$41:$L$46,6,0),IF(Input!$H$36="Annual",VLOOKUP('Auto Finance'!B50,Input!$K$41:$L$46,2,0),""))),""))," ")</f>
        <v/>
      </c>
      <c r="M50" s="6" t="str">
        <f>IF(B50&lt;&gt;"",IF(AND(Input!$H$37="Annual",MOD(B50,12)=0),Input!$J$37,IF(AND(Input!$H$37="1st Installment",B50=1),Input!$J$37,IF(Input!$H$37="Monthly",Input!$J$37,IF(AND(Input!$H$37="End of the loan",B50=Input!$E$39),Input!$J$37,"")))),"")</f>
        <v/>
      </c>
      <c r="N50" s="6">
        <f t="shared" si="13"/>
        <v>0</v>
      </c>
      <c r="O50" s="4">
        <f t="shared" si="1"/>
        <v>5688.8998620199272</v>
      </c>
      <c r="S50" s="9">
        <f t="shared" si="2"/>
        <v>45560</v>
      </c>
      <c r="T50" s="5">
        <f t="shared" si="7"/>
        <v>5688.9</v>
      </c>
      <c r="U50" s="136"/>
      <c r="V50" s="105"/>
    </row>
    <row r="51" spans="1:22">
      <c r="A51" s="1">
        <f t="shared" si="12"/>
        <v>3</v>
      </c>
      <c r="B51" s="16">
        <f t="shared" si="8"/>
        <v>34</v>
      </c>
      <c r="C51" s="9">
        <f t="shared" si="4"/>
        <v>45590</v>
      </c>
      <c r="D51" s="6">
        <f>IFERROR(PPMT(Input!$E$35/12,B51,$C$6,Input!$E$34,-$C$13,0)," ")</f>
        <v>-5062.0404531025933</v>
      </c>
      <c r="E51" s="6">
        <f>IFERROR(IPMT(Input!$E$35/12,B51,$C$6,Input!$E$34,-$C$13,0)," ")</f>
        <v>-626.85940891733344</v>
      </c>
      <c r="F51" s="6">
        <f t="shared" si="9"/>
        <v>-160402.17685679483</v>
      </c>
      <c r="G51" s="6">
        <f t="shared" si="10"/>
        <v>-33020.418451882644</v>
      </c>
      <c r="H51" s="6">
        <f t="shared" si="5"/>
        <v>-5688.8998620199272</v>
      </c>
      <c r="I51" s="6">
        <f t="shared" si="6"/>
        <v>139597.82314320517</v>
      </c>
      <c r="J51" s="6" t="str">
        <f>IF(B51&lt;&gt;"",IF(AND(Input!$H$34="Annual",MOD(B51,12)=0),Input!$J$34,IF(AND(Input!$H$34="1st Installment",B51=1),Input!$J$34,IF(Input!$H$34="Monthly",Input!$J$34,""))),"")</f>
        <v/>
      </c>
      <c r="K51" s="6" t="str">
        <f>IF(B51&lt;&gt;"",IF(AND(Input!$H$35="Annual",MOD(B51,12)=0),Input!$J$35,IF(AND(Input!$H$35="1st Installment",B51=1),Input!$J$35,IF(Input!$H$35="Monthly",Input!$J$35,""))),"")</f>
        <v/>
      </c>
      <c r="L51" s="6" t="str">
        <f>IF(B51&lt;=$C$6,(_xlfn.IFNA(IF(AND(Input!$H$36="1st Installment",B51=1),Input!$I$36,IF(Input!$H$36="Monthly",VLOOKUP(A51,Input!$G$41:$L$46,6,0),IF(Input!$H$36="Annual",VLOOKUP('Auto Finance'!B51,Input!$K$41:$L$46,2,0),""))),""))," ")</f>
        <v/>
      </c>
      <c r="M51" s="6" t="str">
        <f>IF(B51&lt;&gt;"",IF(AND(Input!$H$37="Annual",MOD(B51,12)=0),Input!$J$37,IF(AND(Input!$H$37="1st Installment",B51=1),Input!$J$37,IF(Input!$H$37="Monthly",Input!$J$37,IF(AND(Input!$H$37="End of the loan",B51=Input!$E$39),Input!$J$37,"")))),"")</f>
        <v/>
      </c>
      <c r="N51" s="6">
        <f t="shared" si="13"/>
        <v>0</v>
      </c>
      <c r="O51" s="4">
        <f t="shared" si="1"/>
        <v>5688.8998620199272</v>
      </c>
      <c r="S51" s="9">
        <f t="shared" si="2"/>
        <v>45590</v>
      </c>
      <c r="T51" s="5">
        <f t="shared" si="7"/>
        <v>5688.9</v>
      </c>
      <c r="U51" s="136"/>
      <c r="V51" s="105"/>
    </row>
    <row r="52" spans="1:22">
      <c r="A52" s="1">
        <f t="shared" si="12"/>
        <v>3</v>
      </c>
      <c r="B52" s="16">
        <f t="shared" si="8"/>
        <v>35</v>
      </c>
      <c r="C52" s="9">
        <f t="shared" si="4"/>
        <v>45621</v>
      </c>
      <c r="D52" s="6">
        <f>IFERROR(PPMT(Input!$E$35/12,B52,$C$6,Input!$E$34,-$C$13,0)," ")</f>
        <v>-5083.9759617327045</v>
      </c>
      <c r="E52" s="6">
        <f>IFERROR(IPMT(Input!$E$35/12,B52,$C$6,Input!$E$34,-$C$13,0)," ")</f>
        <v>-604.9239002872223</v>
      </c>
      <c r="F52" s="6">
        <f t="shared" si="9"/>
        <v>-165486.15281852754</v>
      </c>
      <c r="G52" s="6">
        <f t="shared" si="10"/>
        <v>-33625.342352169864</v>
      </c>
      <c r="H52" s="6">
        <f t="shared" si="5"/>
        <v>-5688.8998620199272</v>
      </c>
      <c r="I52" s="6">
        <f t="shared" si="6"/>
        <v>134513.84718147246</v>
      </c>
      <c r="J52" s="6" t="str">
        <f>IF(B52&lt;&gt;"",IF(AND(Input!$H$34="Annual",MOD(B52,12)=0),Input!$J$34,IF(AND(Input!$H$34="1st Installment",B52=1),Input!$J$34,IF(Input!$H$34="Monthly",Input!$J$34,""))),"")</f>
        <v/>
      </c>
      <c r="K52" s="6" t="str">
        <f>IF(B52&lt;&gt;"",IF(AND(Input!$H$35="Annual",MOD(B52,12)=0),Input!$J$35,IF(AND(Input!$H$35="1st Installment",B52=1),Input!$J$35,IF(Input!$H$35="Monthly",Input!$J$35,""))),"")</f>
        <v/>
      </c>
      <c r="L52" s="6" t="str">
        <f>IF(B52&lt;=$C$6,(_xlfn.IFNA(IF(AND(Input!$H$36="1st Installment",B52=1),Input!$I$36,IF(Input!$H$36="Monthly",VLOOKUP(A52,Input!$G$41:$L$46,6,0),IF(Input!$H$36="Annual",VLOOKUP('Auto Finance'!B52,Input!$K$41:$L$46,2,0),""))),""))," ")</f>
        <v/>
      </c>
      <c r="M52" s="6" t="str">
        <f>IF(B52&lt;&gt;"",IF(AND(Input!$H$37="Annual",MOD(B52,12)=0),Input!$J$37,IF(AND(Input!$H$37="1st Installment",B52=1),Input!$J$37,IF(Input!$H$37="Monthly",Input!$J$37,IF(AND(Input!$H$37="End of the loan",B52=Input!$E$39),Input!$J$37,"")))),"")</f>
        <v/>
      </c>
      <c r="N52" s="6">
        <f t="shared" si="13"/>
        <v>0</v>
      </c>
      <c r="O52" s="4">
        <f t="shared" si="1"/>
        <v>5688.8998620199272</v>
      </c>
      <c r="S52" s="9">
        <f t="shared" si="2"/>
        <v>45621</v>
      </c>
      <c r="T52" s="5">
        <f t="shared" si="7"/>
        <v>5688.9</v>
      </c>
      <c r="U52" s="136"/>
      <c r="V52" s="105"/>
    </row>
    <row r="53" spans="1:22">
      <c r="A53" s="1">
        <f t="shared" si="12"/>
        <v>3</v>
      </c>
      <c r="B53" s="16">
        <f t="shared" si="8"/>
        <v>36</v>
      </c>
      <c r="C53" s="9">
        <f>IF(B53="","",EDATE(C52,1))</f>
        <v>45651</v>
      </c>
      <c r="D53" s="6">
        <f>IFERROR(PPMT(Input!$E$35/12,B53,$C$6,Input!$E$34,-$C$13,0)," ")</f>
        <v>-5106.0065242335459</v>
      </c>
      <c r="E53" s="6">
        <f>IFERROR(IPMT(Input!$E$35/12,B53,$C$6,Input!$E$34,-$C$13,0)," ")</f>
        <v>-582.89333778638047</v>
      </c>
      <c r="F53" s="6">
        <f t="shared" si="9"/>
        <v>-170592.15934276109</v>
      </c>
      <c r="G53" s="6">
        <f t="shared" si="10"/>
        <v>-34208.235689956244</v>
      </c>
      <c r="H53" s="6">
        <f t="shared" si="5"/>
        <v>-5688.8998620199263</v>
      </c>
      <c r="I53" s="6">
        <f t="shared" si="6"/>
        <v>129407.84065723891</v>
      </c>
      <c r="J53" s="6" t="str">
        <f>IF(B53&lt;&gt;"",IF(AND(Input!$H$34="Annual",MOD(B53,12)=0),Input!$J$34,IF(AND(Input!$H$34="1st Installment",B53=1),Input!$J$34,IF(Input!$H$34="Monthly",Input!$J$34,""))),"")</f>
        <v/>
      </c>
      <c r="K53" s="6">
        <f>IF(B53&lt;&gt;"",IF(AND(Input!$H$35="Annual",MOD(B53,12)=0),Input!$J$35,IF(AND(Input!$H$35="1st Installment",B53=1),Input!$J$35,IF(Input!$H$35="Monthly",Input!$J$35,""))),"")</f>
        <v>0</v>
      </c>
      <c r="L53" s="6" t="str">
        <f>IF(B53&lt;=$C$6,(_xlfn.IFNA(IF(AND(Input!$H$36="1st Installment",B53=1),Input!$I$36,IF(Input!$H$36="Monthly",VLOOKUP(A53,Input!$G$41:$L$46,6,0),IF(Input!$H$36="Annual",VLOOKUP('Auto Finance'!B53,Input!$K$41:$L$46,2,0),""))),""))," ")</f>
        <v/>
      </c>
      <c r="M53" s="6" t="str">
        <f>IF(B53&lt;&gt;"",IF(AND(Input!$H$37="Annual",MOD(B53,12)=0),Input!$J$37,IF(AND(Input!$H$37="1st Installment",B53=1),Input!$J$37,IF(Input!$H$37="Monthly",Input!$J$37,IF(AND(Input!$H$37="End of the loan",B53=Input!$E$39),Input!$J$37,"")))),"")</f>
        <v/>
      </c>
      <c r="N53" s="6">
        <f t="shared" si="13"/>
        <v>0</v>
      </c>
      <c r="O53" s="4">
        <f t="shared" si="1"/>
        <v>5688.8998620199263</v>
      </c>
      <c r="S53" s="9">
        <f t="shared" si="2"/>
        <v>45651</v>
      </c>
      <c r="T53" s="5">
        <f t="shared" si="7"/>
        <v>5688.9</v>
      </c>
      <c r="U53" s="136"/>
      <c r="V53" s="105"/>
    </row>
    <row r="54" spans="1:22">
      <c r="A54" s="1">
        <f>IF(B54&lt;&gt;"",4,"")</f>
        <v>4</v>
      </c>
      <c r="B54" s="16">
        <f t="shared" si="8"/>
        <v>37</v>
      </c>
      <c r="C54" s="9">
        <f t="shared" ref="C54:C73" si="14">IF(B54="","",EDATE(C53,1))</f>
        <v>45682</v>
      </c>
      <c r="D54" s="6">
        <f>IFERROR(PPMT(Input!$E$35/12,B54,$C$6,Input!$E$34,-$C$13,0)," ")</f>
        <v>-5128.1325525052252</v>
      </c>
      <c r="E54" s="6">
        <f>IFERROR(IPMT(Input!$E$35/12,B54,$C$6,Input!$E$34,-$C$13,0)," ")</f>
        <v>-560.76730951470176</v>
      </c>
      <c r="F54" s="6">
        <f t="shared" si="9"/>
        <v>-175720.29189526633</v>
      </c>
      <c r="G54" s="6">
        <f t="shared" si="10"/>
        <v>-34769.002999470948</v>
      </c>
      <c r="H54" s="6">
        <f t="shared" si="5"/>
        <v>-5688.8998620199272</v>
      </c>
      <c r="I54" s="6">
        <f t="shared" si="6"/>
        <v>124279.70810473367</v>
      </c>
      <c r="J54" s="6" t="str">
        <f>IF(B54&lt;&gt;"",IF(AND(Input!$H$34="Annual",MOD(B54,12)=0),Input!$J$34,IF(AND(Input!$H$34="1st Installment",B54=1),Input!$J$34,IF(Input!$H$34="Monthly",Input!$J$34,""))),"")</f>
        <v/>
      </c>
      <c r="K54" s="6" t="str">
        <f>IF(B54&lt;&gt;"",IF(AND(Input!$H$35="Annual",MOD(B54,12)=0),Input!$J$35,IF(AND(Input!$H$35="1st Installment",B54=1),Input!$J$35,IF(Input!$H$35="Monthly",Input!$J$35,""))),"")</f>
        <v/>
      </c>
      <c r="L54" s="6" t="str">
        <f>IF(B54&lt;=$C$6,(_xlfn.IFNA(IF(AND(Input!$H$36="1st Installment",B54=1),Input!$I$36,IF(Input!$H$36="Monthly",VLOOKUP(A54,Input!$G$41:$L$46,6,0),IF(Input!$H$36="Annual",VLOOKUP('Auto Finance'!B54,Input!$K$41:$L$46,2,0),""))),""))," ")</f>
        <v/>
      </c>
      <c r="M54" s="6" t="str">
        <f>IF(B54&lt;&gt;"",IF(AND(Input!$H$37="Annual",MOD(B54,12)=0),Input!$J$37,IF(AND(Input!$H$37="1st Installment",B54=1),Input!$J$37,IF(Input!$H$37="Monthly",Input!$J$37,IF(AND(Input!$H$37="End of the loan",B54=Input!$E$39),Input!$J$37,"")))),"")</f>
        <v/>
      </c>
      <c r="N54" s="6">
        <f t="shared" si="13"/>
        <v>0</v>
      </c>
      <c r="O54" s="4">
        <f t="shared" si="1"/>
        <v>5688.8998620199272</v>
      </c>
      <c r="S54" s="9">
        <f t="shared" si="2"/>
        <v>45682</v>
      </c>
      <c r="T54" s="5">
        <f t="shared" si="7"/>
        <v>5688.9</v>
      </c>
      <c r="U54" s="136"/>
      <c r="V54" s="105"/>
    </row>
    <row r="55" spans="1:22">
      <c r="A55" s="1">
        <f t="shared" ref="A55:A65" si="15">IF(B55&lt;&gt;"",4,"")</f>
        <v>4</v>
      </c>
      <c r="B55" s="16">
        <f t="shared" si="8"/>
        <v>38</v>
      </c>
      <c r="C55" s="9">
        <f t="shared" si="14"/>
        <v>45713</v>
      </c>
      <c r="D55" s="6">
        <f>IFERROR(PPMT(Input!$E$35/12,B55,$C$6,Input!$E$34,-$C$13,0)," ")</f>
        <v>-5150.3544602327474</v>
      </c>
      <c r="E55" s="6">
        <f>IFERROR(IPMT(Input!$E$35/12,B55,$C$6,Input!$E$34,-$C$13,0)," ")</f>
        <v>-538.54540178717923</v>
      </c>
      <c r="F55" s="6">
        <f t="shared" si="9"/>
        <v>-180870.64635549908</v>
      </c>
      <c r="G55" s="6">
        <f t="shared" si="10"/>
        <v>-35307.548401258129</v>
      </c>
      <c r="H55" s="6">
        <f t="shared" si="5"/>
        <v>-5688.8998620199263</v>
      </c>
      <c r="I55" s="6">
        <f t="shared" si="6"/>
        <v>119129.35364450092</v>
      </c>
      <c r="J55" s="6" t="str">
        <f>IF(B55&lt;&gt;"",IF(AND(Input!$H$34="Annual",MOD(B55,12)=0),Input!$J$34,IF(AND(Input!$H$34="1st Installment",B55=1),Input!$J$34,IF(Input!$H$34="Monthly",Input!$J$34,""))),"")</f>
        <v/>
      </c>
      <c r="K55" s="6" t="str">
        <f>IF(B55&lt;&gt;"",IF(AND(Input!$H$35="Annual",MOD(B55,12)=0),Input!$J$35,IF(AND(Input!$H$35="1st Installment",B55=1),Input!$J$35,IF(Input!$H$35="Monthly",Input!$J$35,""))),"")</f>
        <v/>
      </c>
      <c r="L55" s="6" t="str">
        <f>IF(B55&lt;=$C$6,(_xlfn.IFNA(IF(AND(Input!$H$36="1st Installment",B55=1),Input!$I$36,IF(Input!$H$36="Monthly",VLOOKUP(A55,Input!$G$41:$L$46,6,0),IF(Input!$H$36="Annual",VLOOKUP('Auto Finance'!B55,Input!$K$41:$L$46,2,0),""))),""))," ")</f>
        <v/>
      </c>
      <c r="M55" s="6" t="str">
        <f>IF(B55&lt;&gt;"",IF(AND(Input!$H$37="Annual",MOD(B55,12)=0),Input!$J$37,IF(AND(Input!$H$37="1st Installment",B55=1),Input!$J$37,IF(Input!$H$37="Monthly",Input!$J$37,IF(AND(Input!$H$37="End of the loan",B55=Input!$E$39),Input!$J$37,"")))),"")</f>
        <v/>
      </c>
      <c r="N55" s="6">
        <f t="shared" si="13"/>
        <v>0</v>
      </c>
      <c r="O55" s="4">
        <f t="shared" si="1"/>
        <v>5688.8998620199263</v>
      </c>
      <c r="S55" s="9">
        <f t="shared" si="2"/>
        <v>45713</v>
      </c>
      <c r="T55" s="5">
        <f t="shared" si="7"/>
        <v>5688.9</v>
      </c>
      <c r="U55" s="136"/>
      <c r="V55" s="105"/>
    </row>
    <row r="56" spans="1:22">
      <c r="A56" s="1">
        <f t="shared" si="15"/>
        <v>4</v>
      </c>
      <c r="B56" s="16">
        <f t="shared" si="8"/>
        <v>39</v>
      </c>
      <c r="C56" s="9">
        <f t="shared" si="14"/>
        <v>45741</v>
      </c>
      <c r="D56" s="6">
        <f>IFERROR(PPMT(Input!$E$35/12,B56,$C$6,Input!$E$34,-$C$13,0)," ")</f>
        <v>-5172.6726628937558</v>
      </c>
      <c r="E56" s="6">
        <f>IFERROR(IPMT(Input!$E$35/12,B56,$C$6,Input!$E$34,-$C$13,0)," ")</f>
        <v>-516.2271991261706</v>
      </c>
      <c r="F56" s="6">
        <f t="shared" si="9"/>
        <v>-186043.31901839282</v>
      </c>
      <c r="G56" s="6">
        <f t="shared" si="10"/>
        <v>-35823.775600384302</v>
      </c>
      <c r="H56" s="6">
        <f t="shared" si="5"/>
        <v>-5688.8998620199263</v>
      </c>
      <c r="I56" s="6">
        <f t="shared" si="6"/>
        <v>113956.68098160718</v>
      </c>
      <c r="J56" s="6" t="str">
        <f>IF(B56&lt;&gt;"",IF(AND(Input!$H$34="Annual",MOD(B56,12)=0),Input!$J$34,IF(AND(Input!$H$34="1st Installment",B56=1),Input!$J$34,IF(Input!$H$34="Monthly",Input!$J$34,""))),"")</f>
        <v/>
      </c>
      <c r="K56" s="6" t="str">
        <f>IF(B56&lt;&gt;"",IF(AND(Input!$H$35="Annual",MOD(B56,12)=0),Input!$J$35,IF(AND(Input!$H$35="1st Installment",B56=1),Input!$J$35,IF(Input!$H$35="Monthly",Input!$J$35,""))),"")</f>
        <v/>
      </c>
      <c r="L56" s="6" t="str">
        <f>IF(B56&lt;=$C$6,(_xlfn.IFNA(IF(AND(Input!$H$36="1st Installment",B56=1),Input!$I$36,IF(Input!$H$36="Monthly",VLOOKUP(A56,Input!$G$41:$L$46,6,0),IF(Input!$H$36="Annual",VLOOKUP('Auto Finance'!B56,Input!$K$41:$L$46,2,0),""))),""))," ")</f>
        <v/>
      </c>
      <c r="M56" s="6" t="str">
        <f>IF(B56&lt;&gt;"",IF(AND(Input!$H$37="Annual",MOD(B56,12)=0),Input!$J$37,IF(AND(Input!$H$37="1st Installment",B56=1),Input!$J$37,IF(Input!$H$37="Monthly",Input!$J$37,IF(AND(Input!$H$37="End of the loan",B56=Input!$E$39),Input!$J$37,"")))),"")</f>
        <v/>
      </c>
      <c r="N56" s="6">
        <f t="shared" si="13"/>
        <v>0</v>
      </c>
      <c r="O56" s="4">
        <f t="shared" si="1"/>
        <v>5688.8998620199263</v>
      </c>
      <c r="S56" s="9">
        <f t="shared" si="2"/>
        <v>45741</v>
      </c>
      <c r="T56" s="5">
        <f t="shared" si="7"/>
        <v>5688.9</v>
      </c>
      <c r="U56" s="136"/>
      <c r="V56" s="105"/>
    </row>
    <row r="57" spans="1:22">
      <c r="A57" s="1">
        <f t="shared" si="15"/>
        <v>4</v>
      </c>
      <c r="B57" s="16">
        <f t="shared" si="8"/>
        <v>40</v>
      </c>
      <c r="C57" s="9">
        <f t="shared" si="14"/>
        <v>45772</v>
      </c>
      <c r="D57" s="6">
        <f>IFERROR(PPMT(Input!$E$35/12,B57,$C$6,Input!$E$34,-$C$13,0)," ")</f>
        <v>-5195.0875777662959</v>
      </c>
      <c r="E57" s="6">
        <f>IFERROR(IPMT(Input!$E$35/12,B57,$C$6,Input!$E$34,-$C$13,0)," ")</f>
        <v>-493.81228425363116</v>
      </c>
      <c r="F57" s="6">
        <f t="shared" si="9"/>
        <v>-191238.40659615913</v>
      </c>
      <c r="G57" s="6">
        <f t="shared" si="10"/>
        <v>-36317.587884637935</v>
      </c>
      <c r="H57" s="6">
        <f t="shared" si="5"/>
        <v>-5688.8998620199272</v>
      </c>
      <c r="I57" s="6">
        <f t="shared" si="6"/>
        <v>108761.59340384087</v>
      </c>
      <c r="J57" s="6" t="str">
        <f>IF(B57&lt;&gt;"",IF(AND(Input!$H$34="Annual",MOD(B57,12)=0),Input!$J$34,IF(AND(Input!$H$34="1st Installment",B57=1),Input!$J$34,IF(Input!$H$34="Monthly",Input!$J$34,""))),"")</f>
        <v/>
      </c>
      <c r="K57" s="6" t="str">
        <f>IF(B57&lt;&gt;"",IF(AND(Input!$H$35="Annual",MOD(B57,12)=0),Input!$J$35,IF(AND(Input!$H$35="1st Installment",B57=1),Input!$J$35,IF(Input!$H$35="Monthly",Input!$J$35,""))),"")</f>
        <v/>
      </c>
      <c r="L57" s="6" t="str">
        <f>IF(B57&lt;=$C$6,(_xlfn.IFNA(IF(AND(Input!$H$36="1st Installment",B57=1),Input!$I$36,IF(Input!$H$36="Monthly",VLOOKUP(A57,Input!$G$41:$L$46,6,0),IF(Input!$H$36="Annual",VLOOKUP('Auto Finance'!B57,Input!$K$41:$L$46,2,0),""))),""))," ")</f>
        <v/>
      </c>
      <c r="M57" s="6" t="str">
        <f>IF(B57&lt;&gt;"",IF(AND(Input!$H$37="Annual",MOD(B57,12)=0),Input!$J$37,IF(AND(Input!$H$37="1st Installment",B57=1),Input!$J$37,IF(Input!$H$37="Monthly",Input!$J$37,IF(AND(Input!$H$37="End of the loan",B57=Input!$E$39),Input!$J$37,"")))),"")</f>
        <v/>
      </c>
      <c r="N57" s="6">
        <f t="shared" si="13"/>
        <v>0</v>
      </c>
      <c r="O57" s="4">
        <f t="shared" si="1"/>
        <v>5688.8998620199272</v>
      </c>
      <c r="S57" s="9">
        <f t="shared" si="2"/>
        <v>45772</v>
      </c>
      <c r="T57" s="5">
        <f t="shared" si="7"/>
        <v>5688.9</v>
      </c>
      <c r="U57" s="136"/>
      <c r="V57" s="105"/>
    </row>
    <row r="58" spans="1:22">
      <c r="A58" s="1">
        <f t="shared" si="15"/>
        <v>4</v>
      </c>
      <c r="B58" s="16">
        <f t="shared" si="8"/>
        <v>41</v>
      </c>
      <c r="C58" s="9">
        <f t="shared" si="14"/>
        <v>45802</v>
      </c>
      <c r="D58" s="6">
        <f>IFERROR(PPMT(Input!$E$35/12,B58,$C$6,Input!$E$34,-$C$13,0)," ")</f>
        <v>-5217.5996239366159</v>
      </c>
      <c r="E58" s="6">
        <f>IFERROR(IPMT(Input!$E$35/12,B58,$C$6,Input!$E$34,-$C$13,0)," ")</f>
        <v>-471.30023808331038</v>
      </c>
      <c r="F58" s="6">
        <f t="shared" si="9"/>
        <v>-196456.00622009573</v>
      </c>
      <c r="G58" s="6">
        <f t="shared" si="10"/>
        <v>-36788.888122721248</v>
      </c>
      <c r="H58" s="6">
        <f t="shared" si="5"/>
        <v>-5688.8998620199263</v>
      </c>
      <c r="I58" s="6">
        <f t="shared" si="6"/>
        <v>103543.99377990427</v>
      </c>
      <c r="J58" s="6" t="str">
        <f>IF(B58&lt;&gt;"",IF(AND(Input!$H$34="Annual",MOD(B58,12)=0),Input!$J$34,IF(AND(Input!$H$34="1st Installment",B58=1),Input!$J$34,IF(Input!$H$34="Monthly",Input!$J$34,""))),"")</f>
        <v/>
      </c>
      <c r="K58" s="6" t="str">
        <f>IF(B58&lt;&gt;"",IF(AND(Input!$H$35="Annual",MOD(B58,12)=0),Input!$J$35,IF(AND(Input!$H$35="1st Installment",B58=1),Input!$J$35,IF(Input!$H$35="Monthly",Input!$J$35,""))),"")</f>
        <v/>
      </c>
      <c r="L58" s="6" t="str">
        <f>IF(B58&lt;=$C$6,(_xlfn.IFNA(IF(AND(Input!$H$36="1st Installment",B58=1),Input!$I$36,IF(Input!$H$36="Monthly",VLOOKUP(A58,Input!$G$41:$L$46,6,0),IF(Input!$H$36="Annual",VLOOKUP('Auto Finance'!B58,Input!$K$41:$L$46,2,0),""))),""))," ")</f>
        <v/>
      </c>
      <c r="M58" s="6" t="str">
        <f>IF(B58&lt;&gt;"",IF(AND(Input!$H$37="Annual",MOD(B58,12)=0),Input!$J$37,IF(AND(Input!$H$37="1st Installment",B58=1),Input!$J$37,IF(Input!$H$37="Monthly",Input!$J$37,IF(AND(Input!$H$37="End of the loan",B58=Input!$E$39),Input!$J$37,"")))),"")</f>
        <v/>
      </c>
      <c r="N58" s="6">
        <f t="shared" si="13"/>
        <v>0</v>
      </c>
      <c r="O58" s="4">
        <f t="shared" si="1"/>
        <v>5688.8998620199263</v>
      </c>
      <c r="S58" s="9">
        <f t="shared" si="2"/>
        <v>45802</v>
      </c>
      <c r="T58" s="5">
        <f t="shared" si="7"/>
        <v>5688.9</v>
      </c>
      <c r="U58" s="136"/>
      <c r="V58" s="105"/>
    </row>
    <row r="59" spans="1:22">
      <c r="A59" s="1">
        <f t="shared" si="15"/>
        <v>4</v>
      </c>
      <c r="B59" s="16">
        <f t="shared" si="8"/>
        <v>42</v>
      </c>
      <c r="C59" s="9">
        <f t="shared" si="14"/>
        <v>45833</v>
      </c>
      <c r="D59" s="6">
        <f>IFERROR(PPMT(Input!$E$35/12,B59,$C$6,Input!$E$34,-$C$13,0)," ")</f>
        <v>-5240.2092223070085</v>
      </c>
      <c r="E59" s="6">
        <f>IFERROR(IPMT(Input!$E$35/12,B59,$C$6,Input!$E$34,-$C$13,0)," ")</f>
        <v>-448.69063971291843</v>
      </c>
      <c r="F59" s="6">
        <f t="shared" si="9"/>
        <v>-201696.21544240275</v>
      </c>
      <c r="G59" s="6">
        <f t="shared" si="10"/>
        <v>-37237.578762434168</v>
      </c>
      <c r="H59" s="6">
        <f t="shared" si="5"/>
        <v>-5688.8998620199272</v>
      </c>
      <c r="I59" s="6">
        <f t="shared" si="6"/>
        <v>98303.784557597246</v>
      </c>
      <c r="J59" s="6" t="str">
        <f>IF(B59&lt;&gt;"",IF(AND(Input!$H$34="Annual",MOD(B59,12)=0),Input!$J$34,IF(AND(Input!$H$34="1st Installment",B59=1),Input!$J$34,IF(Input!$H$34="Monthly",Input!$J$34,""))),"")</f>
        <v/>
      </c>
      <c r="K59" s="6" t="str">
        <f>IF(B59&lt;&gt;"",IF(AND(Input!$H$35="Annual",MOD(B59,12)=0),Input!$J$35,IF(AND(Input!$H$35="1st Installment",B59=1),Input!$J$35,IF(Input!$H$35="Monthly",Input!$J$35,""))),"")</f>
        <v/>
      </c>
      <c r="L59" s="6" t="str">
        <f>IF(B59&lt;=$C$6,(_xlfn.IFNA(IF(AND(Input!$H$36="1st Installment",B59=1),Input!$I$36,IF(Input!$H$36="Monthly",VLOOKUP(A59,Input!$G$41:$L$46,6,0),IF(Input!$H$36="Annual",VLOOKUP('Auto Finance'!B59,Input!$K$41:$L$46,2,0),""))),""))," ")</f>
        <v/>
      </c>
      <c r="M59" s="6" t="str">
        <f>IF(B59&lt;&gt;"",IF(AND(Input!$H$37="Annual",MOD(B59,12)=0),Input!$J$37,IF(AND(Input!$H$37="1st Installment",B59=1),Input!$J$37,IF(Input!$H$37="Monthly",Input!$J$37,IF(AND(Input!$H$37="End of the loan",B59=Input!$E$39),Input!$J$37,"")))),"")</f>
        <v/>
      </c>
      <c r="N59" s="6">
        <f t="shared" si="13"/>
        <v>0</v>
      </c>
      <c r="O59" s="4">
        <f t="shared" si="1"/>
        <v>5688.8998620199272</v>
      </c>
      <c r="S59" s="9">
        <f t="shared" si="2"/>
        <v>45833</v>
      </c>
      <c r="T59" s="5">
        <f t="shared" si="7"/>
        <v>5688.9</v>
      </c>
      <c r="U59" s="136"/>
      <c r="V59" s="105"/>
    </row>
    <row r="60" spans="1:22">
      <c r="A60" s="1">
        <f t="shared" si="15"/>
        <v>4</v>
      </c>
      <c r="B60" s="16">
        <f t="shared" si="8"/>
        <v>43</v>
      </c>
      <c r="C60" s="9">
        <f t="shared" si="14"/>
        <v>45863</v>
      </c>
      <c r="D60" s="6">
        <f>IFERROR(PPMT(Input!$E$35/12,B60,$C$6,Input!$E$34,-$C$13,0)," ")</f>
        <v>-5262.9167956036717</v>
      </c>
      <c r="E60" s="6">
        <f>IFERROR(IPMT(Input!$E$35/12,B60,$C$6,Input!$E$34,-$C$13,0)," ")</f>
        <v>-425.9830664162547</v>
      </c>
      <c r="F60" s="6">
        <f t="shared" si="9"/>
        <v>-206959.13223800642</v>
      </c>
      <c r="G60" s="6">
        <f t="shared" si="10"/>
        <v>-37663.561828850427</v>
      </c>
      <c r="H60" s="6">
        <f t="shared" si="5"/>
        <v>-5688.8998620199263</v>
      </c>
      <c r="I60" s="6">
        <f t="shared" si="6"/>
        <v>93040.867761993577</v>
      </c>
      <c r="J60" s="6" t="str">
        <f>IF(B60&lt;&gt;"",IF(AND(Input!$H$34="Annual",MOD(B60,12)=0),Input!$J$34,IF(AND(Input!$H$34="1st Installment",B60=1),Input!$J$34,IF(Input!$H$34="Monthly",Input!$J$34,""))),"")</f>
        <v/>
      </c>
      <c r="K60" s="6" t="str">
        <f>IF(B60&lt;&gt;"",IF(AND(Input!$H$35="Annual",MOD(B60,12)=0),Input!$J$35,IF(AND(Input!$H$35="1st Installment",B60=1),Input!$J$35,IF(Input!$H$35="Monthly",Input!$J$35,""))),"")</f>
        <v/>
      </c>
      <c r="L60" s="6" t="str">
        <f>IF(B60&lt;=$C$6,(_xlfn.IFNA(IF(AND(Input!$H$36="1st Installment",B60=1),Input!$I$36,IF(Input!$H$36="Monthly",VLOOKUP(A60,Input!$G$41:$L$46,6,0),IF(Input!$H$36="Annual",VLOOKUP('Auto Finance'!B60,Input!$K$41:$L$46,2,0),""))),""))," ")</f>
        <v/>
      </c>
      <c r="M60" s="6" t="str">
        <f>IF(B60&lt;&gt;"",IF(AND(Input!$H$37="Annual",MOD(B60,12)=0),Input!$J$37,IF(AND(Input!$H$37="1st Installment",B60=1),Input!$J$37,IF(Input!$H$37="Monthly",Input!$J$37,IF(AND(Input!$H$37="End of the loan",B60=Input!$E$39),Input!$J$37,"")))),"")</f>
        <v/>
      </c>
      <c r="N60" s="6">
        <f t="shared" si="13"/>
        <v>0</v>
      </c>
      <c r="O60" s="4">
        <f t="shared" si="1"/>
        <v>5688.8998620199263</v>
      </c>
      <c r="S60" s="9">
        <f t="shared" si="2"/>
        <v>45863</v>
      </c>
      <c r="T60" s="5">
        <f t="shared" si="7"/>
        <v>5688.9</v>
      </c>
      <c r="U60" s="136"/>
      <c r="V60" s="105"/>
    </row>
    <row r="61" spans="1:22">
      <c r="A61" s="1">
        <f t="shared" si="15"/>
        <v>4</v>
      </c>
      <c r="B61" s="16">
        <f t="shared" si="8"/>
        <v>44</v>
      </c>
      <c r="C61" s="9">
        <f t="shared" si="14"/>
        <v>45894</v>
      </c>
      <c r="D61" s="6">
        <f>IFERROR(PPMT(Input!$E$35/12,B61,$C$6,Input!$E$34,-$C$13,0)," ")</f>
        <v>-5285.7227683846213</v>
      </c>
      <c r="E61" s="6">
        <f>IFERROR(IPMT(Input!$E$35/12,B61,$C$6,Input!$E$34,-$C$13,0)," ")</f>
        <v>-403.17709363530548</v>
      </c>
      <c r="F61" s="6">
        <f t="shared" si="9"/>
        <v>-212244.85500639104</v>
      </c>
      <c r="G61" s="6">
        <f t="shared" si="10"/>
        <v>-38066.738922485732</v>
      </c>
      <c r="H61" s="6">
        <f t="shared" si="5"/>
        <v>-5688.8998620199272</v>
      </c>
      <c r="I61" s="6">
        <f t="shared" si="6"/>
        <v>87755.144993608963</v>
      </c>
      <c r="J61" s="6" t="str">
        <f>IF(B61&lt;&gt;"",IF(AND(Input!$H$34="Annual",MOD(B61,12)=0),Input!$J$34,IF(AND(Input!$H$34="1st Installment",B61=1),Input!$J$34,IF(Input!$H$34="Monthly",Input!$J$34,""))),"")</f>
        <v/>
      </c>
      <c r="K61" s="6" t="str">
        <f>IF(B61&lt;&gt;"",IF(AND(Input!$H$35="Annual",MOD(B61,12)=0),Input!$J$35,IF(AND(Input!$H$35="1st Installment",B61=1),Input!$J$35,IF(Input!$H$35="Monthly",Input!$J$35,""))),"")</f>
        <v/>
      </c>
      <c r="L61" s="6" t="str">
        <f>IF(B61&lt;=$C$6,(_xlfn.IFNA(IF(AND(Input!$H$36="1st Installment",B61=1),Input!$I$36,IF(Input!$H$36="Monthly",VLOOKUP(A61,Input!$G$41:$L$46,6,0),IF(Input!$H$36="Annual",VLOOKUP('Auto Finance'!B61,Input!$K$41:$L$46,2,0),""))),""))," ")</f>
        <v/>
      </c>
      <c r="M61" s="6" t="str">
        <f>IF(B61&lt;&gt;"",IF(AND(Input!$H$37="Annual",MOD(B61,12)=0),Input!$J$37,IF(AND(Input!$H$37="1st Installment",B61=1),Input!$J$37,IF(Input!$H$37="Monthly",Input!$J$37,IF(AND(Input!$H$37="End of the loan",B61=Input!$E$39),Input!$J$37,"")))),"")</f>
        <v/>
      </c>
      <c r="N61" s="6">
        <f t="shared" si="13"/>
        <v>0</v>
      </c>
      <c r="O61" s="4">
        <f t="shared" si="1"/>
        <v>5688.8998620199272</v>
      </c>
      <c r="S61" s="9">
        <f t="shared" si="2"/>
        <v>45894</v>
      </c>
      <c r="T61" s="5">
        <f t="shared" si="7"/>
        <v>5688.9</v>
      </c>
      <c r="U61" s="136"/>
      <c r="V61" s="105"/>
    </row>
    <row r="62" spans="1:22">
      <c r="A62" s="1">
        <f t="shared" si="15"/>
        <v>4</v>
      </c>
      <c r="B62" s="16">
        <f t="shared" si="8"/>
        <v>45</v>
      </c>
      <c r="C62" s="9">
        <f t="shared" si="14"/>
        <v>45925</v>
      </c>
      <c r="D62" s="6">
        <f>IFERROR(PPMT(Input!$E$35/12,B62,$C$6,Input!$E$34,-$C$13,0)," ")</f>
        <v>-5308.6275670476207</v>
      </c>
      <c r="E62" s="6">
        <f>IFERROR(IPMT(Input!$E$35/12,B62,$C$6,Input!$E$34,-$C$13,0)," ")</f>
        <v>-380.27229497230542</v>
      </c>
      <c r="F62" s="6">
        <f t="shared" si="9"/>
        <v>-217553.48257343867</v>
      </c>
      <c r="G62" s="6">
        <f t="shared" si="10"/>
        <v>-38447.011217458035</v>
      </c>
      <c r="H62" s="6">
        <f t="shared" si="5"/>
        <v>-5688.8998620199263</v>
      </c>
      <c r="I62" s="6">
        <f t="shared" si="6"/>
        <v>82446.517426561331</v>
      </c>
      <c r="J62" s="6" t="str">
        <f>IF(B62&lt;&gt;"",IF(AND(Input!$H$34="Annual",MOD(B62,12)=0),Input!$J$34,IF(AND(Input!$H$34="1st Installment",B62=1),Input!$J$34,IF(Input!$H$34="Monthly",Input!$J$34,""))),"")</f>
        <v/>
      </c>
      <c r="K62" s="6" t="str">
        <f>IF(B62&lt;&gt;"",IF(AND(Input!$H$35="Annual",MOD(B62,12)=0),Input!$J$35,IF(AND(Input!$H$35="1st Installment",B62=1),Input!$J$35,IF(Input!$H$35="Monthly",Input!$J$35,""))),"")</f>
        <v/>
      </c>
      <c r="L62" s="6" t="str">
        <f>IF(B62&lt;=$C$6,(_xlfn.IFNA(IF(AND(Input!$H$36="1st Installment",B62=1),Input!$I$36,IF(Input!$H$36="Monthly",VLOOKUP(A62,Input!$G$41:$L$46,6,0),IF(Input!$H$36="Annual",VLOOKUP('Auto Finance'!B62,Input!$K$41:$L$46,2,0),""))),""))," ")</f>
        <v/>
      </c>
      <c r="M62" s="6" t="str">
        <f>IF(B62&lt;&gt;"",IF(AND(Input!$H$37="Annual",MOD(B62,12)=0),Input!$J$37,IF(AND(Input!$H$37="1st Installment",B62=1),Input!$J$37,IF(Input!$H$37="Monthly",Input!$J$37,IF(AND(Input!$H$37="End of the loan",B62=Input!$E$39),Input!$J$37,"")))),"")</f>
        <v/>
      </c>
      <c r="N62" s="6">
        <f t="shared" si="13"/>
        <v>0</v>
      </c>
      <c r="O62" s="4">
        <f t="shared" si="1"/>
        <v>5688.8998620199263</v>
      </c>
      <c r="S62" s="9">
        <f t="shared" si="2"/>
        <v>45925</v>
      </c>
      <c r="T62" s="5">
        <f t="shared" si="7"/>
        <v>5688.9</v>
      </c>
      <c r="U62" s="136"/>
      <c r="V62" s="105"/>
    </row>
    <row r="63" spans="1:22">
      <c r="A63" s="1">
        <f t="shared" si="15"/>
        <v>4</v>
      </c>
      <c r="B63" s="16">
        <f t="shared" si="8"/>
        <v>46</v>
      </c>
      <c r="C63" s="9">
        <f t="shared" si="14"/>
        <v>45955</v>
      </c>
      <c r="D63" s="6">
        <f>IFERROR(PPMT(Input!$E$35/12,B63,$C$6,Input!$E$34,-$C$13,0)," ")</f>
        <v>-5331.631619838161</v>
      </c>
      <c r="E63" s="6">
        <f>IFERROR(IPMT(Input!$E$35/12,B63,$C$6,Input!$E$34,-$C$13,0)," ")</f>
        <v>-357.26824218176569</v>
      </c>
      <c r="F63" s="6">
        <f t="shared" si="9"/>
        <v>-222885.11419327682</v>
      </c>
      <c r="G63" s="6">
        <f t="shared" si="10"/>
        <v>-38804.279459639802</v>
      </c>
      <c r="H63" s="6">
        <f t="shared" si="5"/>
        <v>-5688.8998620199263</v>
      </c>
      <c r="I63" s="6">
        <f t="shared" si="6"/>
        <v>77114.885806723178</v>
      </c>
      <c r="J63" s="6" t="str">
        <f>IF(B63&lt;&gt;"",IF(AND(Input!$H$34="Annual",MOD(B63,12)=0),Input!$J$34,IF(AND(Input!$H$34="1st Installment",B63=1),Input!$J$34,IF(Input!$H$34="Monthly",Input!$J$34,""))),"")</f>
        <v/>
      </c>
      <c r="K63" s="6" t="str">
        <f>IF(B63&lt;&gt;"",IF(AND(Input!$H$35="Annual",MOD(B63,12)=0),Input!$J$35,IF(AND(Input!$H$35="1st Installment",B63=1),Input!$J$35,IF(Input!$H$35="Monthly",Input!$J$35,""))),"")</f>
        <v/>
      </c>
      <c r="L63" s="6" t="str">
        <f>IF(B63&lt;=$C$6,(_xlfn.IFNA(IF(AND(Input!$H$36="1st Installment",B63=1),Input!$I$36,IF(Input!$H$36="Monthly",VLOOKUP(A63,Input!$G$41:$L$46,6,0),IF(Input!$H$36="Annual",VLOOKUP('Auto Finance'!B63,Input!$K$41:$L$46,2,0),""))),""))," ")</f>
        <v/>
      </c>
      <c r="M63" s="6" t="str">
        <f>IF(B63&lt;&gt;"",IF(AND(Input!$H$37="Annual",MOD(B63,12)=0),Input!$J$37,IF(AND(Input!$H$37="1st Installment",B63=1),Input!$J$37,IF(Input!$H$37="Monthly",Input!$J$37,IF(AND(Input!$H$37="End of the loan",B63=Input!$E$39),Input!$J$37,"")))),"")</f>
        <v/>
      </c>
      <c r="N63" s="6">
        <f t="shared" si="13"/>
        <v>0</v>
      </c>
      <c r="O63" s="4">
        <f t="shared" si="1"/>
        <v>5688.8998620199263</v>
      </c>
      <c r="S63" s="9">
        <f t="shared" si="2"/>
        <v>45955</v>
      </c>
      <c r="T63" s="5">
        <f t="shared" si="7"/>
        <v>5688.9</v>
      </c>
      <c r="U63" s="136"/>
      <c r="V63" s="105"/>
    </row>
    <row r="64" spans="1:22">
      <c r="A64" s="1">
        <f t="shared" si="15"/>
        <v>4</v>
      </c>
      <c r="B64" s="16">
        <f t="shared" si="8"/>
        <v>47</v>
      </c>
      <c r="C64" s="9">
        <f t="shared" si="14"/>
        <v>45986</v>
      </c>
      <c r="D64" s="6">
        <f>IFERROR(PPMT(Input!$E$35/12,B64,$C$6,Input!$E$34,-$C$13,0)," ")</f>
        <v>-5354.7353568574599</v>
      </c>
      <c r="E64" s="6">
        <f>IFERROR(IPMT(Input!$E$35/12,B64,$C$6,Input!$E$34,-$C$13,0)," ")</f>
        <v>-334.16450516246704</v>
      </c>
      <c r="F64" s="6">
        <f t="shared" si="9"/>
        <v>-228239.84955013427</v>
      </c>
      <c r="G64" s="6">
        <f t="shared" si="10"/>
        <v>-39138.443964802267</v>
      </c>
      <c r="H64" s="6">
        <f t="shared" si="5"/>
        <v>-5688.8998620199272</v>
      </c>
      <c r="I64" s="6">
        <f t="shared" si="6"/>
        <v>71760.15044986573</v>
      </c>
      <c r="J64" s="6" t="str">
        <f>IF(B64&lt;&gt;"",IF(AND(Input!$H$34="Annual",MOD(B64,12)=0),Input!$J$34,IF(AND(Input!$H$34="1st Installment",B64=1),Input!$J$34,IF(Input!$H$34="Monthly",Input!$J$34,""))),"")</f>
        <v/>
      </c>
      <c r="K64" s="6" t="str">
        <f>IF(B64&lt;&gt;"",IF(AND(Input!$H$35="Annual",MOD(B64,12)=0),Input!$J$35,IF(AND(Input!$H$35="1st Installment",B64=1),Input!$J$35,IF(Input!$H$35="Monthly",Input!$J$35,""))),"")</f>
        <v/>
      </c>
      <c r="L64" s="6" t="str">
        <f>IF(B64&lt;=$C$6,(_xlfn.IFNA(IF(AND(Input!$H$36="1st Installment",B64=1),Input!$I$36,IF(Input!$H$36="Monthly",VLOOKUP(A64,Input!$G$41:$L$46,6,0),IF(Input!$H$36="Annual",VLOOKUP('Auto Finance'!B64,Input!$K$41:$L$46,2,0),""))),""))," ")</f>
        <v/>
      </c>
      <c r="M64" s="6" t="str">
        <f>IF(B64&lt;&gt;"",IF(AND(Input!$H$37="Annual",MOD(B64,12)=0),Input!$J$37,IF(AND(Input!$H$37="1st Installment",B64=1),Input!$J$37,IF(Input!$H$37="Monthly",Input!$J$37,IF(AND(Input!$H$37="End of the loan",B64=Input!$E$39),Input!$J$37,"")))),"")</f>
        <v/>
      </c>
      <c r="N64" s="6">
        <f t="shared" si="13"/>
        <v>0</v>
      </c>
      <c r="O64" s="4">
        <f t="shared" si="1"/>
        <v>5688.8998620199272</v>
      </c>
      <c r="S64" s="9">
        <f t="shared" si="2"/>
        <v>45986</v>
      </c>
      <c r="T64" s="5">
        <f t="shared" si="7"/>
        <v>5688.9</v>
      </c>
      <c r="U64" s="136"/>
      <c r="V64" s="105"/>
    </row>
    <row r="65" spans="1:22">
      <c r="A65" s="1">
        <f t="shared" si="15"/>
        <v>4</v>
      </c>
      <c r="B65" s="16">
        <f t="shared" si="8"/>
        <v>48</v>
      </c>
      <c r="C65" s="9">
        <f t="shared" si="14"/>
        <v>46016</v>
      </c>
      <c r="D65" s="6">
        <f>IFERROR(PPMT(Input!$E$35/12,B65,$C$6,Input!$E$34,-$C$13,0)," ")</f>
        <v>-5377.939210070509</v>
      </c>
      <c r="E65" s="6">
        <f>IFERROR(IPMT(Input!$E$35/12,B65,$C$6,Input!$E$34,-$C$13,0)," ")</f>
        <v>-310.96065194941804</v>
      </c>
      <c r="F65" s="6">
        <f t="shared" si="9"/>
        <v>-233617.78876020477</v>
      </c>
      <c r="G65" s="6">
        <f t="shared" si="10"/>
        <v>-39449.404616751686</v>
      </c>
      <c r="H65" s="6">
        <f t="shared" si="5"/>
        <v>-5688.8998620199272</v>
      </c>
      <c r="I65" s="6">
        <f t="shared" si="6"/>
        <v>66382.21123979523</v>
      </c>
      <c r="J65" s="6" t="str">
        <f>IF(B65&lt;&gt;"",IF(AND(Input!$H$34="Annual",MOD(B65,12)=0),Input!$J$34,IF(AND(Input!$H$34="1st Installment",B65=1),Input!$J$34,IF(Input!$H$34="Monthly",Input!$J$34,""))),"")</f>
        <v/>
      </c>
      <c r="K65" s="6">
        <f>IF(B65&lt;&gt;"",IF(AND(Input!$H$35="Annual",MOD(B65,12)=0),Input!$J$35,IF(AND(Input!$H$35="1st Installment",B65=1),Input!$J$35,IF(Input!$H$35="Monthly",Input!$J$35,""))),"")</f>
        <v>0</v>
      </c>
      <c r="L65" s="6" t="str">
        <f>IF(B65&lt;=$C$6,(_xlfn.IFNA(IF(AND(Input!$H$36="1st Installment",B65=1),Input!$I$36,IF(Input!$H$36="Monthly",VLOOKUP(A65,Input!$G$41:$L$46,6,0),IF(Input!$H$36="Annual",VLOOKUP('Auto Finance'!B65,Input!$K$41:$L$46,2,0),""))),""))," ")</f>
        <v/>
      </c>
      <c r="M65" s="6" t="str">
        <f>IF(B65&lt;&gt;"",IF(AND(Input!$H$37="Annual",MOD(B65,12)=0),Input!$J$37,IF(AND(Input!$H$37="1st Installment",B65=1),Input!$J$37,IF(Input!$H$37="Monthly",Input!$J$37,IF(AND(Input!$H$37="End of the loan",B65=Input!$E$39),Input!$J$37,"")))),"")</f>
        <v/>
      </c>
      <c r="N65" s="6">
        <f t="shared" si="13"/>
        <v>0</v>
      </c>
      <c r="O65" s="4">
        <f t="shared" si="1"/>
        <v>5688.8998620199272</v>
      </c>
      <c r="S65" s="9">
        <f t="shared" si="2"/>
        <v>46016</v>
      </c>
      <c r="T65" s="5">
        <f t="shared" si="7"/>
        <v>5688.9</v>
      </c>
      <c r="U65" s="136"/>
      <c r="V65" s="105"/>
    </row>
    <row r="66" spans="1:22">
      <c r="A66" s="1">
        <f>IF(B66&lt;&gt;"",5,"")</f>
        <v>5</v>
      </c>
      <c r="B66" s="16">
        <f t="shared" si="8"/>
        <v>49</v>
      </c>
      <c r="C66" s="9">
        <f t="shared" si="14"/>
        <v>46047</v>
      </c>
      <c r="D66" s="6">
        <f>IFERROR(PPMT(Input!$E$35/12,B66,$C$6,Input!$E$34,-$C$13,0)," ")</f>
        <v>-5401.2436133141473</v>
      </c>
      <c r="E66" s="6">
        <f>IFERROR(IPMT(Input!$E$35/12,B66,$C$6,Input!$E$34,-$C$13,0)," ")</f>
        <v>-287.65624870577921</v>
      </c>
      <c r="F66" s="6">
        <f t="shared" si="9"/>
        <v>-239019.03237351892</v>
      </c>
      <c r="G66" s="6">
        <f t="shared" si="10"/>
        <v>-39737.060865457468</v>
      </c>
      <c r="H66" s="6">
        <f t="shared" si="5"/>
        <v>-5688.8998620199263</v>
      </c>
      <c r="I66" s="6">
        <f t="shared" si="6"/>
        <v>60980.967626481084</v>
      </c>
      <c r="J66" s="6" t="str">
        <f>IF(B66&lt;&gt;"",IF(AND(Input!$H$34="Annual",MOD(B66,12)=0),Input!$J$34,IF(AND(Input!$H$34="1st Installment",B66=1),Input!$J$34,IF(Input!$H$34="Monthly",Input!$J$34,""))),"")</f>
        <v/>
      </c>
      <c r="K66" s="6" t="str">
        <f>IF(B66&lt;&gt;"",IF(AND(Input!$H$35="Annual",MOD(B66,12)=0),Input!$J$35,IF(AND(Input!$H$35="1st Installment",B66=1),Input!$J$35,IF(Input!$H$35="Monthly",Input!$J$35,""))),"")</f>
        <v/>
      </c>
      <c r="L66" s="6" t="str">
        <f>IF(B66&lt;=$C$6,(_xlfn.IFNA(IF(AND(Input!$H$36="1st Installment",B66=1),Input!$I$36,IF(Input!$H$36="Monthly",VLOOKUP(A66,Input!$G$41:$L$46,6,0),IF(Input!$H$36="Annual",VLOOKUP('Auto Finance'!B66,Input!$K$41:$L$46,2,0),""))),""))," ")</f>
        <v/>
      </c>
      <c r="M66" s="6" t="str">
        <f>IF(B66&lt;&gt;"",IF(AND(Input!$H$37="Annual",MOD(B66,12)=0),Input!$J$37,IF(AND(Input!$H$37="1st Installment",B66=1),Input!$J$37,IF(Input!$H$37="Monthly",Input!$J$37,IF(AND(Input!$H$37="End of the loan",B66=Input!$E$39),Input!$J$37,"")))),"")</f>
        <v/>
      </c>
      <c r="N66" s="6">
        <f t="shared" si="13"/>
        <v>0</v>
      </c>
      <c r="O66" s="4">
        <f t="shared" si="1"/>
        <v>5688.8998620199263</v>
      </c>
      <c r="S66" s="9">
        <f t="shared" si="2"/>
        <v>46047</v>
      </c>
      <c r="T66" s="5">
        <f t="shared" si="7"/>
        <v>5688.9</v>
      </c>
      <c r="U66" s="136"/>
      <c r="V66" s="105"/>
    </row>
    <row r="67" spans="1:22">
      <c r="A67" s="1">
        <f t="shared" ref="A67:A73" si="16">IF(B67&lt;&gt;"",5,"")</f>
        <v>5</v>
      </c>
      <c r="B67" s="16">
        <f t="shared" si="8"/>
        <v>50</v>
      </c>
      <c r="C67" s="9">
        <f t="shared" si="14"/>
        <v>46078</v>
      </c>
      <c r="D67" s="6">
        <f>IFERROR(PPMT(Input!$E$35/12,B67,$C$6,Input!$E$34,-$C$13,0)," ")</f>
        <v>-5424.6490023051756</v>
      </c>
      <c r="E67" s="6">
        <f>IFERROR(IPMT(Input!$E$35/12,B67,$C$6,Input!$E$34,-$C$13,0)," ")</f>
        <v>-264.25085971475124</v>
      </c>
      <c r="F67" s="6">
        <f t="shared" si="9"/>
        <v>-244443.68137582409</v>
      </c>
      <c r="G67" s="6">
        <f t="shared" si="10"/>
        <v>-40001.311725172221</v>
      </c>
      <c r="H67" s="6">
        <f t="shared" si="5"/>
        <v>-5688.8998620199272</v>
      </c>
      <c r="I67" s="6">
        <f t="shared" si="6"/>
        <v>55556.31862417591</v>
      </c>
      <c r="J67" s="6" t="str">
        <f>IF(B67&lt;&gt;"",IF(AND(Input!$H$34="Annual",MOD(B67,12)=0),Input!$J$34,IF(AND(Input!$H$34="1st Installment",B67=1),Input!$J$34,IF(Input!$H$34="Monthly",Input!$J$34,""))),"")</f>
        <v/>
      </c>
      <c r="K67" s="6" t="str">
        <f>IF(B67&lt;&gt;"",IF(AND(Input!$H$35="Annual",MOD(B67,12)=0),Input!$J$35,IF(AND(Input!$H$35="1st Installment",B67=1),Input!$J$35,IF(Input!$H$35="Monthly",Input!$J$35,""))),"")</f>
        <v/>
      </c>
      <c r="L67" s="6" t="str">
        <f>IF(B67&lt;=$C$6,(_xlfn.IFNA(IF(AND(Input!$H$36="1st Installment",B67=1),Input!$I$36,IF(Input!$H$36="Monthly",VLOOKUP(A67,Input!$G$41:$L$46,6,0),IF(Input!$H$36="Annual",VLOOKUP('Auto Finance'!B67,Input!$K$41:$L$46,2,0),""))),""))," ")</f>
        <v/>
      </c>
      <c r="M67" s="6" t="str">
        <f>IF(B67&lt;&gt;"",IF(AND(Input!$H$37="Annual",MOD(B67,12)=0),Input!$J$37,IF(AND(Input!$H$37="1st Installment",B67=1),Input!$J$37,IF(Input!$H$37="Monthly",Input!$J$37,IF(AND(Input!$H$37="End of the loan",B67=Input!$E$39),Input!$J$37,"")))),"")</f>
        <v/>
      </c>
      <c r="N67" s="6">
        <f t="shared" si="13"/>
        <v>0</v>
      </c>
      <c r="O67" s="4">
        <f t="shared" si="1"/>
        <v>5688.8998620199272</v>
      </c>
      <c r="S67" s="9">
        <f t="shared" si="2"/>
        <v>46078</v>
      </c>
      <c r="T67" s="5">
        <f t="shared" si="7"/>
        <v>5688.9</v>
      </c>
      <c r="U67" s="136"/>
      <c r="V67" s="105"/>
    </row>
    <row r="68" spans="1:22">
      <c r="A68" s="1">
        <f t="shared" si="16"/>
        <v>5</v>
      </c>
      <c r="B68" s="16">
        <f t="shared" si="8"/>
        <v>51</v>
      </c>
      <c r="C68" s="9">
        <f t="shared" si="14"/>
        <v>46106</v>
      </c>
      <c r="D68" s="6">
        <f>IFERROR(PPMT(Input!$E$35/12,B68,$C$6,Input!$E$34,-$C$13,0)," ")</f>
        <v>-5448.1558146484977</v>
      </c>
      <c r="E68" s="6">
        <f>IFERROR(IPMT(Input!$E$35/12,B68,$C$6,Input!$E$34,-$C$13,0)," ")</f>
        <v>-240.74404737142876</v>
      </c>
      <c r="F68" s="6">
        <f t="shared" si="9"/>
        <v>-249891.83719047258</v>
      </c>
      <c r="G68" s="6">
        <f t="shared" si="10"/>
        <v>-40242.055772543652</v>
      </c>
      <c r="H68" s="6">
        <f t="shared" si="5"/>
        <v>-5688.8998620199263</v>
      </c>
      <c r="I68" s="6">
        <f t="shared" si="6"/>
        <v>50108.162809527421</v>
      </c>
      <c r="J68" s="6" t="str">
        <f>IF(B68&lt;&gt;"",IF(AND(Input!$H$34="Annual",MOD(B68,12)=0),Input!$J$34,IF(AND(Input!$H$34="1st Installment",B68=1),Input!$J$34,IF(Input!$H$34="Monthly",Input!$J$34,""))),"")</f>
        <v/>
      </c>
      <c r="K68" s="6" t="str">
        <f>IF(B68&lt;&gt;"",IF(AND(Input!$H$35="Annual",MOD(B68,12)=0),Input!$J$35,IF(AND(Input!$H$35="1st Installment",B68=1),Input!$J$35,IF(Input!$H$35="Monthly",Input!$J$35,""))),"")</f>
        <v/>
      </c>
      <c r="L68" s="6" t="str">
        <f>IF(B68&lt;=$C$6,(_xlfn.IFNA(IF(AND(Input!$H$36="1st Installment",B68=1),Input!$I$36,IF(Input!$H$36="Monthly",VLOOKUP(A68,Input!$G$41:$L$46,6,0),IF(Input!$H$36="Annual",VLOOKUP('Auto Finance'!B68,Input!$K$41:$L$46,2,0),""))),""))," ")</f>
        <v/>
      </c>
      <c r="M68" s="6" t="str">
        <f>IF(B68&lt;&gt;"",IF(AND(Input!$H$37="Annual",MOD(B68,12)=0),Input!$J$37,IF(AND(Input!$H$37="1st Installment",B68=1),Input!$J$37,IF(Input!$H$37="Monthly",Input!$J$37,IF(AND(Input!$H$37="End of the loan",B68=Input!$E$39),Input!$J$37,"")))),"")</f>
        <v/>
      </c>
      <c r="N68" s="6">
        <f t="shared" si="13"/>
        <v>0</v>
      </c>
      <c r="O68" s="4">
        <f t="shared" si="1"/>
        <v>5688.8998620199263</v>
      </c>
      <c r="S68" s="9">
        <f t="shared" si="2"/>
        <v>46106</v>
      </c>
      <c r="T68" s="5">
        <f t="shared" si="7"/>
        <v>5688.9</v>
      </c>
      <c r="U68" s="136"/>
      <c r="V68" s="105"/>
    </row>
    <row r="69" spans="1:22">
      <c r="A69" s="1">
        <f t="shared" si="16"/>
        <v>5</v>
      </c>
      <c r="B69" s="16">
        <f t="shared" si="8"/>
        <v>52</v>
      </c>
      <c r="C69" s="9">
        <f t="shared" si="14"/>
        <v>46137</v>
      </c>
      <c r="D69" s="6">
        <f>IFERROR(PPMT(Input!$E$35/12,B69,$C$6,Input!$E$34,-$C$13,0)," ")</f>
        <v>-5471.7644898453073</v>
      </c>
      <c r="E69" s="6">
        <f>IFERROR(IPMT(Input!$E$35/12,B69,$C$6,Input!$E$34,-$C$13,0)," ")</f>
        <v>-217.13537217461862</v>
      </c>
      <c r="F69" s="6">
        <f t="shared" si="9"/>
        <v>-255363.60168031789</v>
      </c>
      <c r="G69" s="6">
        <f t="shared" si="10"/>
        <v>-40459.191144718272</v>
      </c>
      <c r="H69" s="6">
        <f t="shared" si="5"/>
        <v>-5688.8998620199254</v>
      </c>
      <c r="I69" s="6">
        <f t="shared" si="6"/>
        <v>44636.398319682106</v>
      </c>
      <c r="J69" s="6" t="str">
        <f>IF(B69&lt;&gt;"",IF(AND(Input!$H$34="Annual",MOD(B69,12)=0),Input!$J$34,IF(AND(Input!$H$34="1st Installment",B69=1),Input!$J$34,IF(Input!$H$34="Monthly",Input!$J$34,""))),"")</f>
        <v/>
      </c>
      <c r="K69" s="6" t="str">
        <f>IF(B69&lt;&gt;"",IF(AND(Input!$H$35="Annual",MOD(B69,12)=0),Input!$J$35,IF(AND(Input!$H$35="1st Installment",B69=1),Input!$J$35,IF(Input!$H$35="Monthly",Input!$J$35,""))),"")</f>
        <v/>
      </c>
      <c r="L69" s="6" t="str">
        <f>IF(B69&lt;=$C$6,(_xlfn.IFNA(IF(AND(Input!$H$36="1st Installment",B69=1),Input!$I$36,IF(Input!$H$36="Monthly",VLOOKUP(A69,Input!$G$41:$L$46,6,0),IF(Input!$H$36="Annual",VLOOKUP('Auto Finance'!B69,Input!$K$41:$L$46,2,0),""))),""))," ")</f>
        <v/>
      </c>
      <c r="M69" s="6" t="str">
        <f>IF(B69&lt;&gt;"",IF(AND(Input!$H$37="Annual",MOD(B69,12)=0),Input!$J$37,IF(AND(Input!$H$37="1st Installment",B69=1),Input!$J$37,IF(Input!$H$37="Monthly",Input!$J$37,IF(AND(Input!$H$37="End of the loan",B69=Input!$E$39),Input!$J$37,"")))),"")</f>
        <v/>
      </c>
      <c r="N69" s="6">
        <f t="shared" si="13"/>
        <v>0</v>
      </c>
      <c r="O69" s="4">
        <f t="shared" si="1"/>
        <v>5688.8998620199254</v>
      </c>
      <c r="S69" s="9">
        <f t="shared" si="2"/>
        <v>46137</v>
      </c>
      <c r="T69" s="5">
        <f t="shared" si="7"/>
        <v>5688.9</v>
      </c>
      <c r="U69" s="136"/>
      <c r="V69" s="105"/>
    </row>
    <row r="70" spans="1:22">
      <c r="A70" s="1">
        <f t="shared" si="16"/>
        <v>5</v>
      </c>
      <c r="B70" s="16">
        <f t="shared" si="8"/>
        <v>53</v>
      </c>
      <c r="C70" s="9">
        <f t="shared" si="14"/>
        <v>46167</v>
      </c>
      <c r="D70" s="6">
        <f>IFERROR(PPMT(Input!$E$35/12,B70,$C$6,Input!$E$34,-$C$13,0)," ")</f>
        <v>-5495.4754693013047</v>
      </c>
      <c r="E70" s="6">
        <f>IFERROR(IPMT(Input!$E$35/12,B70,$C$6,Input!$E$34,-$C$13,0)," ")</f>
        <v>-193.4243927186223</v>
      </c>
      <c r="F70" s="6">
        <f t="shared" si="9"/>
        <v>-260859.0771496192</v>
      </c>
      <c r="G70" s="6">
        <f t="shared" si="10"/>
        <v>-40652.615537436897</v>
      </c>
      <c r="H70" s="6">
        <f t="shared" si="5"/>
        <v>-5688.8998620199272</v>
      </c>
      <c r="I70" s="6">
        <f t="shared" si="6"/>
        <v>39140.922850380797</v>
      </c>
      <c r="J70" s="6" t="str">
        <f>IF(B70&lt;&gt;"",IF(AND(Input!$H$34="Annual",MOD(B70,12)=0),Input!$J$34,IF(AND(Input!$H$34="1st Installment",B70=1),Input!$J$34,IF(Input!$H$34="Monthly",Input!$J$34,""))),"")</f>
        <v/>
      </c>
      <c r="K70" s="6" t="str">
        <f>IF(B70&lt;&gt;"",IF(AND(Input!$H$35="Annual",MOD(B70,12)=0),Input!$J$35,IF(AND(Input!$H$35="1st Installment",B70=1),Input!$J$35,IF(Input!$H$35="Monthly",Input!$J$35,""))),"")</f>
        <v/>
      </c>
      <c r="L70" s="6" t="str">
        <f>IF(B70&lt;=$C$6,(_xlfn.IFNA(IF(AND(Input!$H$36="1st Installment",B70=1),Input!$I$36,IF(Input!$H$36="Monthly",VLOOKUP(A70,Input!$G$41:$L$46,6,0),IF(Input!$H$36="Annual",VLOOKUP('Auto Finance'!B70,Input!$K$41:$L$46,2,0),""))),""))," ")</f>
        <v/>
      </c>
      <c r="M70" s="6" t="str">
        <f>IF(B70&lt;&gt;"",IF(AND(Input!$H$37="Annual",MOD(B70,12)=0),Input!$J$37,IF(AND(Input!$H$37="1st Installment",B70=1),Input!$J$37,IF(Input!$H$37="Monthly",Input!$J$37,IF(AND(Input!$H$37="End of the loan",B70=Input!$E$39),Input!$J$37,"")))),"")</f>
        <v/>
      </c>
      <c r="N70" s="6">
        <f t="shared" si="13"/>
        <v>0</v>
      </c>
      <c r="O70" s="4">
        <f t="shared" si="1"/>
        <v>5688.8998620199272</v>
      </c>
      <c r="S70" s="9">
        <f t="shared" si="2"/>
        <v>46167</v>
      </c>
      <c r="T70" s="5">
        <f t="shared" si="7"/>
        <v>5688.9</v>
      </c>
      <c r="U70" s="136"/>
      <c r="V70" s="105"/>
    </row>
    <row r="71" spans="1:22">
      <c r="A71" s="1">
        <f t="shared" si="16"/>
        <v>5</v>
      </c>
      <c r="B71" s="16">
        <f t="shared" si="8"/>
        <v>54</v>
      </c>
      <c r="C71" s="9">
        <f t="shared" si="14"/>
        <v>46198</v>
      </c>
      <c r="D71" s="6">
        <f>IFERROR(PPMT(Input!$E$35/12,B71,$C$6,Input!$E$34,-$C$13,0)," ")</f>
        <v>-5519.2891963349439</v>
      </c>
      <c r="E71" s="6">
        <f>IFERROR(IPMT(Input!$E$35/12,B71,$C$6,Input!$E$34,-$C$13,0)," ")</f>
        <v>-169.6106656849833</v>
      </c>
      <c r="F71" s="6">
        <f t="shared" si="9"/>
        <v>-266378.36634595413</v>
      </c>
      <c r="G71" s="6">
        <f t="shared" si="10"/>
        <v>-40822.226203121878</v>
      </c>
      <c r="H71" s="6">
        <f t="shared" si="5"/>
        <v>-5688.8998620199272</v>
      </c>
      <c r="I71" s="6">
        <f t="shared" si="6"/>
        <v>33621.633654045872</v>
      </c>
      <c r="J71" s="6" t="str">
        <f>IF(B71&lt;&gt;"",IF(AND(Input!$H$34="Annual",MOD(B71,12)=0),Input!$J$34,IF(AND(Input!$H$34="1st Installment",B71=1),Input!$J$34,IF(Input!$H$34="Monthly",Input!$J$34,""))),"")</f>
        <v/>
      </c>
      <c r="K71" s="6" t="str">
        <f>IF(B71&lt;&gt;"",IF(AND(Input!$H$35="Annual",MOD(B71,12)=0),Input!$J$35,IF(AND(Input!$H$35="1st Installment",B71=1),Input!$J$35,IF(Input!$H$35="Monthly",Input!$J$35,""))),"")</f>
        <v/>
      </c>
      <c r="L71" s="6" t="str">
        <f>IF(B71&lt;=$C$6,(_xlfn.IFNA(IF(AND(Input!$H$36="1st Installment",B71=1),Input!$I$36,IF(Input!$H$36="Monthly",VLOOKUP(A71,Input!$G$41:$L$46,6,0),IF(Input!$H$36="Annual",VLOOKUP('Auto Finance'!B71,Input!$K$41:$L$46,2,0),""))),""))," ")</f>
        <v/>
      </c>
      <c r="M71" s="6" t="str">
        <f>IF(B71&lt;&gt;"",IF(AND(Input!$H$37="Annual",MOD(B71,12)=0),Input!$J$37,IF(AND(Input!$H$37="1st Installment",B71=1),Input!$J$37,IF(Input!$H$37="Monthly",Input!$J$37,IF(AND(Input!$H$37="End of the loan",B71=Input!$E$39),Input!$J$37,"")))),"")</f>
        <v/>
      </c>
      <c r="N71" s="6">
        <f t="shared" si="13"/>
        <v>0</v>
      </c>
      <c r="O71" s="4">
        <f t="shared" si="1"/>
        <v>5688.8998620199272</v>
      </c>
      <c r="S71" s="9">
        <f t="shared" si="2"/>
        <v>46198</v>
      </c>
      <c r="T71" s="5">
        <f t="shared" si="7"/>
        <v>5688.9</v>
      </c>
      <c r="U71" s="136"/>
      <c r="V71" s="105"/>
    </row>
    <row r="72" spans="1:22">
      <c r="A72" s="1">
        <f t="shared" si="16"/>
        <v>5</v>
      </c>
      <c r="B72" s="16">
        <f t="shared" si="8"/>
        <v>55</v>
      </c>
      <c r="C72" s="9">
        <f t="shared" si="14"/>
        <v>46228</v>
      </c>
      <c r="D72" s="6">
        <f>IFERROR(PPMT(Input!$E$35/12,B72,$C$6,Input!$E$34,-$C$13,0)," ")</f>
        <v>-5543.2061161857282</v>
      </c>
      <c r="E72" s="6">
        <f>IFERROR(IPMT(Input!$E$35/12,B72,$C$6,Input!$E$34,-$C$13,0)," ")</f>
        <v>-145.69374583419858</v>
      </c>
      <c r="F72" s="6">
        <f t="shared" si="9"/>
        <v>-271921.57246213988</v>
      </c>
      <c r="G72" s="6">
        <f t="shared" si="10"/>
        <v>-40967.919948956078</v>
      </c>
      <c r="H72" s="6">
        <f t="shared" si="5"/>
        <v>-5688.8998620199272</v>
      </c>
      <c r="I72" s="6">
        <f t="shared" si="6"/>
        <v>28078.427537860116</v>
      </c>
      <c r="J72" s="6" t="str">
        <f>IF(B72&lt;&gt;"",IF(AND(Input!$H$34="Annual",MOD(B72,12)=0),Input!$J$34,IF(AND(Input!$H$34="1st Installment",B72=1),Input!$J$34,IF(Input!$H$34="Monthly",Input!$J$34,""))),"")</f>
        <v/>
      </c>
      <c r="K72" s="6" t="str">
        <f>IF(B72&lt;&gt;"",IF(AND(Input!$H$35="Annual",MOD(B72,12)=0),Input!$J$35,IF(AND(Input!$H$35="1st Installment",B72=1),Input!$J$35,IF(Input!$H$35="Monthly",Input!$J$35,""))),"")</f>
        <v/>
      </c>
      <c r="L72" s="6" t="str">
        <f>IF(B72&lt;=$C$6,(_xlfn.IFNA(IF(AND(Input!$H$36="1st Installment",B72=1),Input!$I$36,IF(Input!$H$36="Monthly",VLOOKUP(A72,Input!$G$41:$L$46,6,0),IF(Input!$H$36="Annual",VLOOKUP('Auto Finance'!B72,Input!$K$41:$L$46,2,0),""))),""))," ")</f>
        <v/>
      </c>
      <c r="M72" s="6" t="str">
        <f>IF(B72&lt;&gt;"",IF(AND(Input!$H$37="Annual",MOD(B72,12)=0),Input!$J$37,IF(AND(Input!$H$37="1st Installment",B72=1),Input!$J$37,IF(Input!$H$37="Monthly",Input!$J$37,IF(AND(Input!$H$37="End of the loan",B72=Input!$E$39),Input!$J$37,"")))),"")</f>
        <v/>
      </c>
      <c r="N72" s="6">
        <f t="shared" si="13"/>
        <v>0</v>
      </c>
      <c r="O72" s="4">
        <f t="shared" si="1"/>
        <v>5688.8998620199272</v>
      </c>
      <c r="S72" s="9">
        <f t="shared" si="2"/>
        <v>46228</v>
      </c>
      <c r="T72" s="5">
        <f t="shared" si="7"/>
        <v>5688.9</v>
      </c>
      <c r="U72" s="136"/>
      <c r="V72" s="105"/>
    </row>
    <row r="73" spans="1:22">
      <c r="A73" s="1">
        <f t="shared" si="16"/>
        <v>5</v>
      </c>
      <c r="B73" s="16">
        <f t="shared" si="8"/>
        <v>56</v>
      </c>
      <c r="C73" s="9">
        <f t="shared" si="14"/>
        <v>46259</v>
      </c>
      <c r="D73" s="6">
        <f>IFERROR(PPMT(Input!$E$35/12,B73,$C$6,Input!$E$34,-$C$13,0)," ")</f>
        <v>-5567.226676022533</v>
      </c>
      <c r="E73" s="6">
        <f>IFERROR(IPMT(Input!$E$35/12,B73,$C$6,Input!$E$34,-$C$13,0)," ")</f>
        <v>-121.67318599739377</v>
      </c>
      <c r="F73" s="6">
        <f t="shared" si="9"/>
        <v>-277488.7991381624</v>
      </c>
      <c r="G73" s="6">
        <f t="shared" si="10"/>
        <v>-41089.593134953473</v>
      </c>
      <c r="H73" s="6">
        <f t="shared" si="5"/>
        <v>-5688.8998620199263</v>
      </c>
      <c r="I73" s="6">
        <f t="shared" si="6"/>
        <v>22511.200861837598</v>
      </c>
      <c r="J73" s="6" t="str">
        <f>IF(B73&lt;&gt;"",IF(AND(Input!$H$34="Annual",MOD(B73,12)=0),Input!$J$34,IF(AND(Input!$H$34="1st Installment",B73=1),Input!$J$34,IF(Input!$H$34="Monthly",Input!$J$34,""))),"")</f>
        <v/>
      </c>
      <c r="K73" s="6" t="str">
        <f>IF(B73&lt;&gt;"",IF(AND(Input!$H$35="Annual",MOD(B73,12)=0),Input!$J$35,IF(AND(Input!$H$35="1st Installment",B73=1),Input!$J$35,IF(Input!$H$35="Monthly",Input!$J$35,""))),"")</f>
        <v/>
      </c>
      <c r="L73" s="6" t="str">
        <f>IF(B73&lt;=$C$6,(_xlfn.IFNA(IF(AND(Input!$H$36="1st Installment",B73=1),Input!$I$36,IF(Input!$H$36="Monthly",VLOOKUP(A73,Input!$G$41:$L$46,6,0),IF(Input!$H$36="Annual",VLOOKUP('Auto Finance'!B73,Input!$K$41:$L$46,2,0),""))),""))," ")</f>
        <v/>
      </c>
      <c r="M73" s="6" t="str">
        <f>IF(B73&lt;&gt;"",IF(AND(Input!$H$37="Annual",MOD(B73,12)=0),Input!$J$37,IF(AND(Input!$H$37="1st Installment",B73=1),Input!$J$37,IF(Input!$H$37="Monthly",Input!$J$37,IF(AND(Input!$H$37="End of the loan",B73=Input!$E$39),Input!$J$37,"")))),"")</f>
        <v/>
      </c>
      <c r="N73" s="6">
        <f t="shared" si="13"/>
        <v>0</v>
      </c>
      <c r="O73" s="4">
        <f t="shared" si="1"/>
        <v>5688.8998620199263</v>
      </c>
      <c r="S73" s="9">
        <f t="shared" si="2"/>
        <v>46259</v>
      </c>
      <c r="T73" s="5">
        <f t="shared" si="7"/>
        <v>5688.9</v>
      </c>
      <c r="U73" s="136"/>
      <c r="V73" s="105"/>
    </row>
    <row r="74" spans="1:22">
      <c r="A74" s="1">
        <f t="shared" ref="A74:A82" si="17">IF(B74&lt;&gt;"",5,"")</f>
        <v>5</v>
      </c>
      <c r="B74" s="16">
        <f t="shared" ref="B74:B82" si="18">IF(B73="","",IF((B73+1)&lt;=$C$6+1,B73+1,""))</f>
        <v>57</v>
      </c>
      <c r="C74" s="9">
        <f t="shared" ref="C74:C82" si="19">IF(B74="","",EDATE(C73,1))</f>
        <v>46290</v>
      </c>
      <c r="D74" s="6">
        <f>IFERROR(PPMT(Input!$E$35/12,B74,$C$6,Input!$E$34,-$C$13,0)," ")</f>
        <v>-5591.3513249519647</v>
      </c>
      <c r="E74" s="6">
        <f>IFERROR(IPMT(Input!$E$35/12,B74,$C$6,Input!$E$34,-$C$13,0)," ")</f>
        <v>-97.548537067962783</v>
      </c>
      <c r="F74" s="6">
        <f t="shared" ref="F74:F82" si="20">IF(B74&lt;=$C$6,F73+D74,"")</f>
        <v>-283080.15046311438</v>
      </c>
      <c r="G74" s="6">
        <f t="shared" ref="G74:G82" si="21">IF(B74&lt;=$C$6,G73+E74,"")</f>
        <v>-41187.141672021433</v>
      </c>
      <c r="H74" s="6">
        <f t="shared" si="5"/>
        <v>-5688.8998620199272</v>
      </c>
      <c r="I74" s="6">
        <f t="shared" ref="I74:I82" si="22">+IFERROR($C$8+F74,"")</f>
        <v>16919.849536885624</v>
      </c>
      <c r="J74" s="6" t="str">
        <f>IF(B74&lt;&gt;"",IF(AND(Input!$H$34="Annual",MOD(B74,12)=0),Input!$J$34,IF(AND(Input!$H$34="1st Installment",B74=1),Input!$J$34,IF(Input!$H$34="Monthly",Input!$J$34,""))),"")</f>
        <v/>
      </c>
      <c r="K74" s="6" t="str">
        <f>IF(B74&lt;&gt;"",IF(AND(Input!$H$35="Annual",MOD(B74,12)=0),Input!$J$35,IF(AND(Input!$H$35="1st Installment",B74=1),Input!$J$35,IF(Input!$H$35="Monthly",Input!$J$35,""))),"")</f>
        <v/>
      </c>
      <c r="L74" s="6" t="str">
        <f>IF(B74&lt;=$C$6,(_xlfn.IFNA(IF(AND(Input!$H$36="1st Installment",B74=1),Input!$I$36,IF(Input!$H$36="Monthly",VLOOKUP(A74,Input!$G$41:$L$46,6,0),IF(Input!$H$36="Annual",VLOOKUP('Auto Finance'!B74,Input!$K$41:$L$46,2,0),""))),""))," ")</f>
        <v/>
      </c>
      <c r="M74" s="6" t="str">
        <f>IF(B74&lt;&gt;"",IF(AND(Input!$H$37="Annual",MOD(B74,12)=0),Input!$J$37,IF(AND(Input!$H$37="1st Installment",B74=1),Input!$J$37,IF(Input!$H$37="Monthly",Input!$J$37,IF(AND(Input!$H$37="End of the loan",B74=Input!$E$39),Input!$J$37,"")))),"")</f>
        <v/>
      </c>
      <c r="N74" s="6">
        <f t="shared" ref="N74:N82" si="23">IF(B74&lt;&gt;"",SUM(J74:M74),"")</f>
        <v>0</v>
      </c>
      <c r="O74" s="4">
        <f t="shared" ref="O74:O82" si="24">IF(B74&lt;&gt;"",(-H74+N74),"")</f>
        <v>5688.8998620199272</v>
      </c>
      <c r="S74" s="9">
        <f t="shared" ref="S74:S82" si="25">C74</f>
        <v>46290</v>
      </c>
      <c r="T74" s="5">
        <f t="shared" si="7"/>
        <v>5688.9</v>
      </c>
      <c r="U74" s="136"/>
      <c r="V74" s="105"/>
    </row>
    <row r="75" spans="1:22">
      <c r="A75" s="1">
        <f t="shared" si="17"/>
        <v>5</v>
      </c>
      <c r="B75" s="16">
        <f t="shared" si="18"/>
        <v>58</v>
      </c>
      <c r="C75" s="9">
        <f t="shared" si="19"/>
        <v>46320</v>
      </c>
      <c r="D75" s="6">
        <f>IFERROR(PPMT(Input!$E$35/12,B75,$C$6,Input!$E$34,-$C$13,0)," ")</f>
        <v>-5615.5805140267566</v>
      </c>
      <c r="E75" s="6">
        <f>IFERROR(IPMT(Input!$E$35/12,B75,$C$6,Input!$E$34,-$C$13,0)," ")</f>
        <v>-73.319347993170922</v>
      </c>
      <c r="F75" s="6">
        <f t="shared" si="20"/>
        <v>-288695.73097714112</v>
      </c>
      <c r="G75" s="6">
        <f t="shared" si="21"/>
        <v>-41260.461020014605</v>
      </c>
      <c r="H75" s="6">
        <f t="shared" si="5"/>
        <v>-5688.8998620199272</v>
      </c>
      <c r="I75" s="6">
        <f t="shared" si="22"/>
        <v>11304.269022858876</v>
      </c>
      <c r="J75" s="6" t="str">
        <f>IF(B75&lt;&gt;"",IF(AND(Input!$H$34="Annual",MOD(B75,12)=0),Input!$J$34,IF(AND(Input!$H$34="1st Installment",B75=1),Input!$J$34,IF(Input!$H$34="Monthly",Input!$J$34,""))),"")</f>
        <v/>
      </c>
      <c r="K75" s="6" t="str">
        <f>IF(B75&lt;&gt;"",IF(AND(Input!$H$35="Annual",MOD(B75,12)=0),Input!$J$35,IF(AND(Input!$H$35="1st Installment",B75=1),Input!$J$35,IF(Input!$H$35="Monthly",Input!$J$35,""))),"")</f>
        <v/>
      </c>
      <c r="L75" s="6" t="str">
        <f>IF(B75&lt;=$C$6,(_xlfn.IFNA(IF(AND(Input!$H$36="1st Installment",B75=1),Input!$I$36,IF(Input!$H$36="Monthly",VLOOKUP(A75,Input!$G$41:$L$46,6,0),IF(Input!$H$36="Annual",VLOOKUP('Auto Finance'!B75,Input!$K$41:$L$46,2,0),""))),""))," ")</f>
        <v/>
      </c>
      <c r="M75" s="6" t="str">
        <f>IF(B75&lt;&gt;"",IF(AND(Input!$H$37="Annual",MOD(B75,12)=0),Input!$J$37,IF(AND(Input!$H$37="1st Installment",B75=1),Input!$J$37,IF(Input!$H$37="Monthly",Input!$J$37,IF(AND(Input!$H$37="End of the loan",B75=Input!$E$39),Input!$J$37,"")))),"")</f>
        <v/>
      </c>
      <c r="N75" s="6">
        <f t="shared" si="23"/>
        <v>0</v>
      </c>
      <c r="O75" s="4">
        <f t="shared" si="24"/>
        <v>5688.8998620199272</v>
      </c>
      <c r="S75" s="9">
        <f t="shared" si="25"/>
        <v>46320</v>
      </c>
      <c r="T75" s="5">
        <f t="shared" si="7"/>
        <v>5688.9</v>
      </c>
      <c r="U75" s="136"/>
      <c r="V75" s="105"/>
    </row>
    <row r="76" spans="1:22">
      <c r="A76" s="1">
        <f t="shared" si="17"/>
        <v>5</v>
      </c>
      <c r="B76" s="16">
        <f t="shared" si="18"/>
        <v>59</v>
      </c>
      <c r="C76" s="9">
        <f t="shared" si="19"/>
        <v>46351</v>
      </c>
      <c r="D76" s="6">
        <f>IFERROR(PPMT(Input!$E$35/12,B76,$C$6,Input!$E$34,-$C$13,0)," ")</f>
        <v>-5639.9146962542054</v>
      </c>
      <c r="E76" s="6">
        <f>IFERROR(IPMT(Input!$E$35/12,B76,$C$6,Input!$E$34,-$C$13,0)," ")</f>
        <v>-48.985165765721653</v>
      </c>
      <c r="F76" s="6">
        <f t="shared" si="20"/>
        <v>-294335.64567339531</v>
      </c>
      <c r="G76" s="6">
        <f t="shared" si="21"/>
        <v>-41309.446185780325</v>
      </c>
      <c r="H76" s="6">
        <f t="shared" si="5"/>
        <v>-5688.8998620199272</v>
      </c>
      <c r="I76" s="6">
        <f t="shared" si="22"/>
        <v>5664.3543266046909</v>
      </c>
      <c r="J76" s="6" t="str">
        <f>IF(B76&lt;&gt;"",IF(AND(Input!$H$34="Annual",MOD(B76,12)=0),Input!$J$34,IF(AND(Input!$H$34="1st Installment",B76=1),Input!$J$34,IF(Input!$H$34="Monthly",Input!$J$34,""))),"")</f>
        <v/>
      </c>
      <c r="K76" s="6" t="str">
        <f>IF(B76&lt;&gt;"",IF(AND(Input!$H$35="Annual",MOD(B76,12)=0),Input!$J$35,IF(AND(Input!$H$35="1st Installment",B76=1),Input!$J$35,IF(Input!$H$35="Monthly",Input!$J$35,""))),"")</f>
        <v/>
      </c>
      <c r="L76" s="6" t="str">
        <f>IF(B76&lt;=$C$6,(_xlfn.IFNA(IF(AND(Input!$H$36="1st Installment",B76=1),Input!$I$36,IF(Input!$H$36="Monthly",VLOOKUP(A76,Input!$G$41:$L$46,6,0),IF(Input!$H$36="Annual",VLOOKUP('Auto Finance'!B76,Input!$K$41:$L$46,2,0),""))),""))," ")</f>
        <v/>
      </c>
      <c r="M76" s="6" t="str">
        <f>IF(B76&lt;&gt;"",IF(AND(Input!$H$37="Annual",MOD(B76,12)=0),Input!$J$37,IF(AND(Input!$H$37="1st Installment",B76=1),Input!$J$37,IF(Input!$H$37="Monthly",Input!$J$37,IF(AND(Input!$H$37="End of the loan",B76=Input!$E$39),Input!$J$37,"")))),"")</f>
        <v/>
      </c>
      <c r="N76" s="6">
        <f t="shared" si="23"/>
        <v>0</v>
      </c>
      <c r="O76" s="4">
        <f t="shared" si="24"/>
        <v>5688.8998620199272</v>
      </c>
      <c r="S76" s="9">
        <f t="shared" si="25"/>
        <v>46351</v>
      </c>
      <c r="T76" s="5">
        <f t="shared" si="7"/>
        <v>5688.9</v>
      </c>
      <c r="U76" s="136"/>
      <c r="V76" s="105"/>
    </row>
    <row r="77" spans="1:22">
      <c r="A77" s="1">
        <f t="shared" si="17"/>
        <v>5</v>
      </c>
      <c r="B77" s="16">
        <f t="shared" si="18"/>
        <v>60</v>
      </c>
      <c r="C77" s="9">
        <f t="shared" si="19"/>
        <v>46381</v>
      </c>
      <c r="D77" s="6">
        <f>IFERROR(PPMT(Input!$E$35/12,B77,$C$6,Input!$E$34,-$C$13,0)," ")</f>
        <v>-5664.3543266046399</v>
      </c>
      <c r="E77" s="6">
        <f>IFERROR(IPMT(Input!$E$35/12,B77,$C$6,Input!$E$34,-$C$13,0)," ")</f>
        <v>-24.545535415286768</v>
      </c>
      <c r="F77" s="6">
        <f t="shared" si="20"/>
        <v>-299999.99999999994</v>
      </c>
      <c r="G77" s="6">
        <f t="shared" si="21"/>
        <v>-41333.991721195613</v>
      </c>
      <c r="H77" s="6">
        <f t="shared" si="5"/>
        <v>-5688.8998620199263</v>
      </c>
      <c r="I77" s="6">
        <f t="shared" si="22"/>
        <v>5.8207660913467407E-11</v>
      </c>
      <c r="J77" s="6" t="str">
        <f>IF(B77&lt;&gt;"",IF(AND(Input!$H$34="Annual",MOD(B77,12)=0),Input!$J$34,IF(AND(Input!$H$34="1st Installment",B77=1),Input!$J$34,IF(Input!$H$34="Monthly",Input!$J$34,""))),"")</f>
        <v/>
      </c>
      <c r="K77" s="6">
        <f>IF(B77&lt;&gt;"",IF(AND(Input!$H$35="Annual",MOD(B77,12)=0),Input!$J$35,IF(AND(Input!$H$35="1st Installment",B77=1),Input!$J$35,IF(Input!$H$35="Monthly",Input!$J$35,""))),"")</f>
        <v>0</v>
      </c>
      <c r="L77" s="6" t="str">
        <f>IF(B77&lt;=$C$6,(_xlfn.IFNA(IF(AND(Input!$H$36="1st Installment",B77=1),Input!$I$36,IF(Input!$H$36="Monthly",VLOOKUP(A77,Input!$G$41:$L$46,6,0),IF(Input!$H$36="Annual",VLOOKUP('Auto Finance'!B77,Input!$K$41:$L$46,2,0),""))),""))," ")</f>
        <v/>
      </c>
      <c r="M77" s="6" t="str">
        <f>IF(B77&lt;&gt;"",IF(AND(Input!$H$37="Annual",MOD(B77,12)=0),Input!$J$37,IF(AND(Input!$H$37="1st Installment",B77=1),Input!$J$37,IF(Input!$H$37="Monthly",Input!$J$37,IF(AND(Input!$H$37="End of the loan",B77=Input!$E$39),Input!$J$37,"")))),"")</f>
        <v/>
      </c>
      <c r="N77" s="6">
        <f t="shared" si="23"/>
        <v>0</v>
      </c>
      <c r="O77" s="4">
        <f t="shared" si="24"/>
        <v>5688.8998620199263</v>
      </c>
      <c r="S77" s="9">
        <f t="shared" si="25"/>
        <v>46381</v>
      </c>
      <c r="T77" s="5">
        <f t="shared" si="7"/>
        <v>5688.9</v>
      </c>
      <c r="U77" s="136"/>
      <c r="V77" s="105"/>
    </row>
    <row r="78" spans="1:22">
      <c r="A78" s="1">
        <f t="shared" si="17"/>
        <v>5</v>
      </c>
      <c r="B78" s="16">
        <f t="shared" si="18"/>
        <v>61</v>
      </c>
      <c r="C78" s="9">
        <f t="shared" si="19"/>
        <v>46412</v>
      </c>
      <c r="D78" s="6" t="str">
        <f>IFERROR(PPMT(Input!$E$35/12,B78,$C$6,Input!$E$34,-$C$13,0)," ")</f>
        <v xml:space="preserve"> </v>
      </c>
      <c r="E78" s="6" t="str">
        <f>IFERROR(IPMT(Input!$E$35/12,B78,$C$6,Input!$E$34,-$C$13,0)," ")</f>
        <v xml:space="preserve"> </v>
      </c>
      <c r="F78" s="6" t="str">
        <f t="shared" si="20"/>
        <v/>
      </c>
      <c r="G78" s="6" t="str">
        <f t="shared" si="21"/>
        <v/>
      </c>
      <c r="H78" s="6">
        <f t="shared" si="5"/>
        <v>0</v>
      </c>
      <c r="I78" s="6" t="str">
        <f t="shared" si="22"/>
        <v/>
      </c>
      <c r="J78" s="6" t="str">
        <f>IF(B78&lt;&gt;"",IF(AND(Input!$H$34="Annual",MOD(B78,12)=0),Input!$J$34,IF(AND(Input!$H$34="1st Installment",B78=1),Input!$J$34,IF(Input!$H$34="Monthly",Input!$J$34,""))),"")</f>
        <v/>
      </c>
      <c r="K78" s="6" t="str">
        <f>IF(B78&lt;&gt;"",IF(AND(Input!$H$35="Annual",MOD(B78,12)=0),Input!$J$35,IF(AND(Input!$H$35="1st Installment",B78=1),Input!$J$35,IF(Input!$H$35="Monthly",Input!$J$35,""))),"")</f>
        <v/>
      </c>
      <c r="L78" s="6" t="str">
        <f>IF(B78&lt;=$C$6,(_xlfn.IFNA(IF(AND(Input!$H$36="1st Installment",B78=1),Input!$I$36,IF(Input!$H$36="Monthly",VLOOKUP(A78,Input!$G$41:$L$46,6,0),IF(Input!$H$36="Annual",VLOOKUP('Auto Finance'!B78,Input!$K$41:$L$46,2,0),""))),""))," ")</f>
        <v xml:space="preserve"> </v>
      </c>
      <c r="M78" s="6" t="str">
        <f>IF(B78&lt;&gt;"",IF(AND(Input!$H$37="Annual",MOD(B78,12)=0),Input!$J$37,IF(AND(Input!$H$37="1st Installment",B78=1),Input!$J$37,IF(Input!$H$37="Monthly",Input!$J$37,IF(AND(Input!$H$37="End of the loan",B78=Input!$E$39),Input!$J$37,"")))),"")</f>
        <v/>
      </c>
      <c r="N78" s="6">
        <f t="shared" si="23"/>
        <v>0</v>
      </c>
      <c r="O78" s="4">
        <f t="shared" si="24"/>
        <v>0</v>
      </c>
      <c r="S78" s="9">
        <f t="shared" si="25"/>
        <v>46412</v>
      </c>
      <c r="T78" s="5">
        <f t="shared" si="7"/>
        <v>0</v>
      </c>
      <c r="U78" s="136"/>
      <c r="V78" s="105"/>
    </row>
    <row r="79" spans="1:22">
      <c r="A79" s="1" t="str">
        <f t="shared" si="17"/>
        <v/>
      </c>
      <c r="B79" s="16" t="str">
        <f t="shared" si="18"/>
        <v/>
      </c>
      <c r="C79" s="9" t="str">
        <f t="shared" si="19"/>
        <v/>
      </c>
      <c r="D79" s="6" t="str">
        <f>IFERROR(PPMT(Input!$E$35/12,B79,$C$6,Input!$E$34,-$C$13,0)," ")</f>
        <v xml:space="preserve"> </v>
      </c>
      <c r="E79" s="6" t="str">
        <f>IFERROR(IPMT(Input!$E$35/12,B79,$C$6,Input!$E$34,-$C$13,0)," ")</f>
        <v xml:space="preserve"> </v>
      </c>
      <c r="F79" s="6" t="str">
        <f t="shared" si="20"/>
        <v/>
      </c>
      <c r="G79" s="6" t="str">
        <f t="shared" si="21"/>
        <v/>
      </c>
      <c r="H79" s="6" t="str">
        <f t="shared" si="5"/>
        <v/>
      </c>
      <c r="I79" s="6" t="str">
        <f t="shared" si="22"/>
        <v/>
      </c>
      <c r="J79" s="6" t="str">
        <f>IF(B79&lt;&gt;"",IF(AND(Input!$H$34="Annual",MOD(B79,12)=0),Input!$J$34,IF(AND(Input!$H$34="1st Installment",B79=1),Input!$J$34,IF(Input!$H$34="Monthly",Input!$J$34,""))),"")</f>
        <v/>
      </c>
      <c r="K79" s="6" t="str">
        <f>IF(B79&lt;&gt;"",IF(AND(Input!$H$35="Annual",MOD(B79,12)=0),Input!$J$35,IF(AND(Input!$H$35="1st Installment",B79=1),Input!$J$35,IF(Input!$H$35="Monthly",Input!$J$35,""))),"")</f>
        <v/>
      </c>
      <c r="L79" s="6" t="str">
        <f>IF(B79&lt;=$C$6,(_xlfn.IFNA(IF(AND(Input!$H$36="1st Installment",B79=1),Input!$I$36,IF(Input!$H$36="Monthly",VLOOKUP(A79,Input!$G$41:$L$46,6,0),IF(Input!$H$36="Annual",VLOOKUP('Auto Finance'!B79,Input!$K$41:$L$46,2,0),""))),""))," ")</f>
        <v xml:space="preserve"> </v>
      </c>
      <c r="M79" s="6" t="str">
        <f>IF(B79&lt;&gt;"",IF(AND(Input!$H$37="Annual",MOD(B79,12)=0),Input!$J$37,IF(AND(Input!$H$37="1st Installment",B79=1),Input!$J$37,IF(Input!$H$37="Monthly",Input!$J$37,IF(AND(Input!$H$37="End of the loan",B79=Input!$E$39),Input!$J$37,"")))),"")</f>
        <v/>
      </c>
      <c r="N79" s="6" t="str">
        <f t="shared" si="23"/>
        <v/>
      </c>
      <c r="O79" s="4" t="str">
        <f t="shared" si="24"/>
        <v/>
      </c>
      <c r="S79" s="9" t="str">
        <f t="shared" si="25"/>
        <v/>
      </c>
      <c r="T79" s="5" t="str">
        <f t="shared" si="7"/>
        <v xml:space="preserve"> </v>
      </c>
      <c r="V79" s="105"/>
    </row>
    <row r="80" spans="1:22">
      <c r="A80" s="1" t="str">
        <f t="shared" si="17"/>
        <v/>
      </c>
      <c r="B80" s="16" t="str">
        <f t="shared" si="18"/>
        <v/>
      </c>
      <c r="C80" s="9" t="str">
        <f t="shared" si="19"/>
        <v/>
      </c>
      <c r="D80" s="6" t="str">
        <f>IFERROR(PPMT(Input!$E$35/12,B80,$C$6,Input!$E$34,-$C$13,0)," ")</f>
        <v xml:space="preserve"> </v>
      </c>
      <c r="E80" s="6" t="str">
        <f>IFERROR(IPMT(Input!$E$35/12,B80,$C$6,Input!$E$34,-$C$13,0)," ")</f>
        <v xml:space="preserve"> </v>
      </c>
      <c r="F80" s="6" t="str">
        <f t="shared" si="20"/>
        <v/>
      </c>
      <c r="G80" s="6" t="str">
        <f t="shared" si="21"/>
        <v/>
      </c>
      <c r="H80" s="6" t="str">
        <f t="shared" si="5"/>
        <v/>
      </c>
      <c r="I80" s="6" t="str">
        <f t="shared" si="22"/>
        <v/>
      </c>
      <c r="J80" s="6" t="str">
        <f>IF(B80&lt;&gt;"",IF(AND(Input!$H$34="Annual",MOD(B80,12)=0),Input!$J$34,IF(AND(Input!$H$34="1st Installment",B80=1),Input!$J$34,IF(Input!$H$34="Monthly",Input!$J$34,""))),"")</f>
        <v/>
      </c>
      <c r="K80" s="6" t="str">
        <f>IF(B80&lt;&gt;"",IF(AND(Input!$H$35="Annual",MOD(B80,12)=0),Input!$J$35,IF(AND(Input!$H$35="1st Installment",B80=1),Input!$J$35,IF(Input!$H$35="Monthly",Input!$J$35,""))),"")</f>
        <v/>
      </c>
      <c r="L80" s="6" t="str">
        <f>IF(B80&lt;=$C$6,(_xlfn.IFNA(IF(AND(Input!$H$36="1st Installment",B80=1),Input!$I$36,IF(Input!$H$36="Monthly",VLOOKUP(A80,Input!$G$41:$L$46,6,0),IF(Input!$H$36="Annual",VLOOKUP('Auto Finance'!B80,Input!$K$41:$L$46,2,0),""))),""))," ")</f>
        <v xml:space="preserve"> </v>
      </c>
      <c r="M80" s="6" t="str">
        <f>IF(B80&lt;&gt;"",IF(AND(Input!$H$37="Annual",MOD(B80,12)=0),Input!$J$37,IF(AND(Input!$H$37="1st Installment",B80=1),Input!$J$37,IF(Input!$H$37="Monthly",Input!$J$37,IF(AND(Input!$H$37="End of the loan",B80=Input!$E$39),Input!$J$37,"")))),"")</f>
        <v/>
      </c>
      <c r="N80" s="6" t="str">
        <f t="shared" si="23"/>
        <v/>
      </c>
      <c r="O80" s="4" t="str">
        <f t="shared" si="24"/>
        <v/>
      </c>
      <c r="S80" s="9" t="str">
        <f t="shared" si="25"/>
        <v/>
      </c>
      <c r="T80" s="5" t="str">
        <f t="shared" si="7"/>
        <v xml:space="preserve"> </v>
      </c>
      <c r="V80" s="105"/>
    </row>
    <row r="81" spans="1:22">
      <c r="A81" s="1" t="str">
        <f t="shared" si="17"/>
        <v/>
      </c>
      <c r="B81" s="16" t="str">
        <f t="shared" si="18"/>
        <v/>
      </c>
      <c r="C81" s="9" t="str">
        <f t="shared" si="19"/>
        <v/>
      </c>
      <c r="D81" s="6" t="str">
        <f>IFERROR(PPMT(Input!$E$35/12,B81,$C$6,Input!$E$34,-$C$13,0)," ")</f>
        <v xml:space="preserve"> </v>
      </c>
      <c r="E81" s="6" t="str">
        <f>IFERROR(IPMT(Input!$E$35/12,B81,$C$6,Input!$E$34,-$C$13,0)," ")</f>
        <v xml:space="preserve"> </v>
      </c>
      <c r="F81" s="6" t="str">
        <f t="shared" si="20"/>
        <v/>
      </c>
      <c r="G81" s="6" t="str">
        <f t="shared" si="21"/>
        <v/>
      </c>
      <c r="H81" s="6" t="str">
        <f t="shared" si="5"/>
        <v/>
      </c>
      <c r="I81" s="6" t="str">
        <f t="shared" si="22"/>
        <v/>
      </c>
      <c r="J81" s="6" t="str">
        <f>IF(B81&lt;&gt;"",IF(AND(Input!$H$34="Annual",MOD(B81,12)=0),Input!$J$34,IF(AND(Input!$H$34="1st Installment",B81=1),Input!$J$34,IF(Input!$H$34="Monthly",Input!$J$34,""))),"")</f>
        <v/>
      </c>
      <c r="K81" s="6" t="str">
        <f>IF(B81&lt;&gt;"",IF(AND(Input!$H$35="Annual",MOD(B81,12)=0),Input!$J$35,IF(AND(Input!$H$35="1st Installment",B81=1),Input!$J$35,IF(Input!$H$35="Monthly",Input!$J$35,""))),"")</f>
        <v/>
      </c>
      <c r="L81" s="6" t="str">
        <f>IF(B81&lt;=$C$6,(_xlfn.IFNA(IF(AND(Input!$H$36="1st Installment",B81=1),Input!$I$36,IF(Input!$H$36="Monthly",VLOOKUP(A81,Input!$G$41:$L$46,6,0),IF(Input!$H$36="Annual",VLOOKUP('Auto Finance'!B81,Input!$K$41:$L$46,2,0),""))),""))," ")</f>
        <v xml:space="preserve"> </v>
      </c>
      <c r="M81" s="6" t="str">
        <f>IF(B81&lt;&gt;"",IF(AND(Input!$H$37="Annual",MOD(B81,12)=0),Input!$J$37,IF(AND(Input!$H$37="1st Installment",B81=1),Input!$J$37,IF(Input!$H$37="Monthly",Input!$J$37,IF(AND(Input!$H$37="End of the loan",B81=Input!$E$39),Input!$J$37,"")))),"")</f>
        <v/>
      </c>
      <c r="N81" s="6" t="str">
        <f t="shared" si="23"/>
        <v/>
      </c>
      <c r="O81" s="4" t="str">
        <f t="shared" si="24"/>
        <v/>
      </c>
      <c r="S81" s="9" t="str">
        <f t="shared" si="25"/>
        <v/>
      </c>
      <c r="T81" s="5" t="str">
        <f t="shared" si="7"/>
        <v xml:space="preserve"> </v>
      </c>
      <c r="V81" s="105"/>
    </row>
    <row r="82" spans="1:22">
      <c r="A82" s="1" t="str">
        <f t="shared" si="17"/>
        <v/>
      </c>
      <c r="B82" s="16" t="str">
        <f t="shared" si="18"/>
        <v/>
      </c>
      <c r="C82" s="9" t="str">
        <f t="shared" si="19"/>
        <v/>
      </c>
      <c r="D82" s="6" t="str">
        <f>IFERROR(PPMT(Input!$E$35/12,B82,$C$6,Input!$E$34,-$C$13,0)," ")</f>
        <v xml:space="preserve"> </v>
      </c>
      <c r="E82" s="6" t="str">
        <f>IFERROR(IPMT(Input!$E$35/12,B82,$C$6,Input!$E$34,-$C$13,0)," ")</f>
        <v xml:space="preserve"> </v>
      </c>
      <c r="F82" s="6" t="str">
        <f t="shared" si="20"/>
        <v/>
      </c>
      <c r="G82" s="6" t="str">
        <f t="shared" si="21"/>
        <v/>
      </c>
      <c r="H82" s="6" t="str">
        <f t="shared" si="5"/>
        <v/>
      </c>
      <c r="I82" s="6" t="str">
        <f t="shared" si="22"/>
        <v/>
      </c>
      <c r="J82" s="6" t="str">
        <f>IF(B82&lt;&gt;"",IF(AND(Input!$H$34="Annual",MOD(B82,12)=0),Input!$J$34,IF(AND(Input!$H$34="1st Installment",B82=1),Input!$J$34,IF(Input!$H$34="Monthly",Input!$J$34,""))),"")</f>
        <v/>
      </c>
      <c r="K82" s="6" t="str">
        <f>IF(B82&lt;&gt;"",IF(AND(Input!$H$35="Annual",MOD(B82,12)=0),Input!$J$35,IF(AND(Input!$H$35="1st Installment",B82=1),Input!$J$35,IF(Input!$H$35="Monthly",Input!$J$35,""))),"")</f>
        <v/>
      </c>
      <c r="L82" s="6" t="str">
        <f>IF(B82&lt;=$C$6,(_xlfn.IFNA(IF(AND(Input!$H$36="1st Installment",B82=1),Input!$I$36,IF(Input!$H$36="Monthly",VLOOKUP(A82,Input!$G$41:$L$46,6,0),IF(Input!$H$36="Annual",VLOOKUP('Auto Finance'!B82,Input!$K$41:$L$46,2,0),""))),""))," ")</f>
        <v xml:space="preserve"> </v>
      </c>
      <c r="M82" s="6" t="str">
        <f>IF(B82&lt;&gt;"",IF(AND(Input!$H$37="Annual",MOD(B82,12)=0),Input!$J$37,IF(AND(Input!$H$37="1st Installment",B82=1),Input!$J$37,IF(Input!$H$37="Monthly",Input!$J$37,IF(AND(Input!$H$37="End of the loan",B82=Input!$E$39),Input!$J$37,"")))),"")</f>
        <v/>
      </c>
      <c r="N82" s="6" t="str">
        <f t="shared" si="23"/>
        <v/>
      </c>
      <c r="O82" s="4" t="str">
        <f t="shared" si="24"/>
        <v/>
      </c>
      <c r="S82" s="9" t="str">
        <f t="shared" si="25"/>
        <v/>
      </c>
      <c r="T82" s="5" t="str">
        <f t="shared" si="7"/>
        <v xml:space="preserve"> </v>
      </c>
      <c r="V82" s="105"/>
    </row>
    <row r="83" spans="1:22">
      <c r="D83" s="2"/>
      <c r="H83" s="2"/>
      <c r="L83" s="2"/>
    </row>
  </sheetData>
  <sheetProtection algorithmName="SHA-512" hashValue="idYCkgbqK1C5CCVVzmRLdIQg+wlC7b2ZKMCK4iYI23OxK2dnveSi8GZg/UCDFNUOThpK58OkR33wThnJIE3skw==" saltValue="YGUkXC841j/ohwykTawdeQ==" spinCount="100000" sheet="1" objects="1" scenarios="1"/>
  <mergeCells count="4">
    <mergeCell ref="B2:O2"/>
    <mergeCell ref="B4:F4"/>
    <mergeCell ref="S15:T15"/>
    <mergeCell ref="H15:I15"/>
  </mergeCells>
  <pageMargins left="0.7" right="0.7" top="0.75" bottom="0.75" header="0.3" footer="0.3"/>
  <pageSetup orientation="portrait" r:id="rId1"/>
  <headerFooter>
    <oddHeader>&amp;C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86"/>
  <sheetViews>
    <sheetView showGridLines="0" topLeftCell="B27" zoomScale="90" zoomScaleNormal="90" workbookViewId="0">
      <selection activeCell="C44" sqref="C44"/>
    </sheetView>
  </sheetViews>
  <sheetFormatPr defaultColWidth="8.90625" defaultRowHeight="11.5"/>
  <cols>
    <col min="1" max="1" width="0" style="1" hidden="1" customWidth="1"/>
    <col min="2" max="7" width="24.36328125" style="1" customWidth="1"/>
    <col min="8" max="8" width="29.08984375" style="1" bestFit="1" customWidth="1"/>
    <col min="9" max="9" width="24.36328125" style="1" customWidth="1"/>
    <col min="10" max="10" width="26.6328125" style="1" bestFit="1" customWidth="1"/>
    <col min="11" max="15" width="24.36328125" style="1" customWidth="1"/>
    <col min="16" max="16" width="17.36328125" style="1" bestFit="1" customWidth="1"/>
    <col min="17" max="17" width="11" style="1" bestFit="1" customWidth="1"/>
    <col min="18" max="18" width="12" style="1" bestFit="1" customWidth="1"/>
    <col min="19" max="19" width="8.90625" style="1"/>
    <col min="20" max="20" width="10.453125" style="1" bestFit="1" customWidth="1"/>
    <col min="21" max="21" width="11.6328125" style="1" bestFit="1" customWidth="1"/>
    <col min="22" max="22" width="12.6328125" style="65" bestFit="1" customWidth="1"/>
    <col min="23" max="24" width="8.90625" style="1" hidden="1" customWidth="1"/>
    <col min="25" max="25" width="12.54296875" style="1" bestFit="1" customWidth="1"/>
    <col min="26" max="16384" width="8.90625" style="1"/>
  </cols>
  <sheetData>
    <row r="1" spans="2:25">
      <c r="W1" s="1">
        <f>ROW(T17)</f>
        <v>17</v>
      </c>
      <c r="X1" s="1">
        <f>ROW(U17)</f>
        <v>17</v>
      </c>
    </row>
    <row r="2" spans="2:25" ht="17" customHeight="1">
      <c r="B2" s="172" t="s">
        <v>14</v>
      </c>
      <c r="C2" s="172"/>
      <c r="D2" s="172"/>
      <c r="E2" s="172"/>
      <c r="F2" s="172"/>
      <c r="G2" s="172"/>
      <c r="H2" s="172"/>
      <c r="I2" s="172"/>
      <c r="J2" s="172"/>
      <c r="K2" s="172"/>
      <c r="L2" s="172"/>
      <c r="M2" s="172"/>
      <c r="N2" s="172"/>
      <c r="O2" s="172"/>
      <c r="P2" s="172"/>
      <c r="W2" s="1">
        <f>COLUMN(T17)</f>
        <v>20</v>
      </c>
      <c r="X2" s="1">
        <f>COLUMN(U17)</f>
        <v>21</v>
      </c>
    </row>
    <row r="3" spans="2:25">
      <c r="X3" s="50">
        <f>COUNTIF(T17:T385,"&gt;0")-1</f>
        <v>301</v>
      </c>
    </row>
    <row r="4" spans="2:25">
      <c r="B4" s="170" t="s">
        <v>19</v>
      </c>
      <c r="C4" s="170"/>
      <c r="D4" s="170"/>
      <c r="E4" s="170"/>
      <c r="F4" s="170"/>
    </row>
    <row r="6" spans="2:25">
      <c r="B6" s="3" t="s">
        <v>17</v>
      </c>
      <c r="C6" s="3">
        <f>Input!E58</f>
        <v>300</v>
      </c>
      <c r="E6" s="17" t="s">
        <v>7</v>
      </c>
      <c r="F6" s="14">
        <f ca="1">XIRR(U17:INDIRECT(ADDRESS($X$1+$X$3,$X$2)),T17:INDIRECT(ADDRESS($W$1+$X$3,$W$2)))</f>
        <v>2.3941925168037417E-2</v>
      </c>
    </row>
    <row r="8" spans="2:25">
      <c r="B8" s="3" t="s">
        <v>2</v>
      </c>
      <c r="C8" s="5">
        <f>Input!E54</f>
        <v>1500000</v>
      </c>
    </row>
    <row r="9" spans="2:25">
      <c r="B9" s="3" t="s">
        <v>114</v>
      </c>
      <c r="C9" s="5">
        <f>-SUM(E18:E385)</f>
        <v>749150.05269655387</v>
      </c>
    </row>
    <row r="10" spans="2:25">
      <c r="B10" s="3" t="s">
        <v>8</v>
      </c>
      <c r="C10" s="5">
        <f>SUM($O$17:$O$385)</f>
        <v>5300</v>
      </c>
      <c r="E10" s="135"/>
      <c r="T10" s="8"/>
      <c r="U10" s="8"/>
      <c r="Y10" s="110"/>
    </row>
    <row r="11" spans="2:25">
      <c r="B11" s="3" t="s">
        <v>42</v>
      </c>
      <c r="C11" s="9">
        <f>EDATE(Input!E61,C6)</f>
        <v>53717</v>
      </c>
      <c r="U11" s="8"/>
      <c r="Y11" s="110"/>
    </row>
    <row r="12" spans="2:25">
      <c r="H12" s="67"/>
      <c r="U12" s="121"/>
    </row>
    <row r="13" spans="2:25" ht="12.5">
      <c r="B13" s="3" t="s">
        <v>12</v>
      </c>
      <c r="C13" s="95">
        <f>Input!E65</f>
        <v>1000000</v>
      </c>
      <c r="H13" s="66"/>
      <c r="I13" s="2"/>
      <c r="Q13" s="15"/>
    </row>
    <row r="14" spans="2:25">
      <c r="F14" s="12"/>
      <c r="Q14" s="7"/>
      <c r="R14" s="8"/>
      <c r="S14" s="8"/>
    </row>
    <row r="15" spans="2:25">
      <c r="H15" s="173"/>
      <c r="I15" s="173"/>
      <c r="O15" s="12"/>
      <c r="T15" s="171" t="s">
        <v>39</v>
      </c>
      <c r="U15" s="171"/>
    </row>
    <row r="16" spans="2:25">
      <c r="B16" s="13" t="s">
        <v>3</v>
      </c>
      <c r="C16" s="13" t="s">
        <v>4</v>
      </c>
      <c r="D16" s="13" t="s">
        <v>5</v>
      </c>
      <c r="E16" s="13" t="s">
        <v>114</v>
      </c>
      <c r="F16" s="13" t="s">
        <v>10</v>
      </c>
      <c r="G16" s="13" t="s">
        <v>115</v>
      </c>
      <c r="H16" s="13" t="s">
        <v>6</v>
      </c>
      <c r="I16" s="13" t="s">
        <v>11</v>
      </c>
      <c r="J16" s="13" t="s">
        <v>32</v>
      </c>
      <c r="K16" s="13" t="s">
        <v>33</v>
      </c>
      <c r="L16" s="13" t="s">
        <v>34</v>
      </c>
      <c r="M16" s="13" t="s">
        <v>35</v>
      </c>
      <c r="N16" s="13" t="s">
        <v>57</v>
      </c>
      <c r="O16" s="13" t="s">
        <v>15</v>
      </c>
      <c r="P16" s="13" t="s">
        <v>16</v>
      </c>
      <c r="T16" s="13" t="s">
        <v>40</v>
      </c>
      <c r="U16" s="13" t="s">
        <v>41</v>
      </c>
    </row>
    <row r="17" spans="2:23">
      <c r="B17" s="16">
        <v>0</v>
      </c>
      <c r="C17" s="9">
        <f>Input!E59</f>
        <v>44562</v>
      </c>
      <c r="D17" s="6">
        <v>0</v>
      </c>
      <c r="E17" s="6">
        <v>0</v>
      </c>
      <c r="F17" s="6">
        <v>0</v>
      </c>
      <c r="G17" s="6">
        <v>0</v>
      </c>
      <c r="H17" s="6">
        <v>0</v>
      </c>
      <c r="I17" s="6">
        <v>0</v>
      </c>
      <c r="J17" s="6" t="str">
        <f>IF(AND(Input!$H$54="Upfront Payment",B17=0),Input!$J$54,"")</f>
        <v/>
      </c>
      <c r="K17" s="6" t="str">
        <f>IF(AND(Input!$H$55="Upfront Payment",B17=0),Input!$J$55,"")</f>
        <v/>
      </c>
      <c r="L17" s="6" t="str">
        <f>IF(AND(Input!$H$56="Upfront Payment",B17=0),Input!$J$56,"")</f>
        <v/>
      </c>
      <c r="M17" s="6" t="str">
        <f>IF(AND(Input!$H$57="Upfront Payment",B17=0),Input!$J$57,"")</f>
        <v/>
      </c>
      <c r="N17" s="6" t="str">
        <f>IF(AND(Input!$H$58="Upfront Payment",B17=0),Input!$J$58,"")</f>
        <v/>
      </c>
      <c r="O17" s="6">
        <f t="shared" ref="O17:O80" si="0">IF(B17&lt;&gt;"",SUM(J17:N17),"")</f>
        <v>0</v>
      </c>
      <c r="P17" s="4">
        <f t="shared" ref="P17:P80" si="1">IF(B17&lt;&gt;"",(-H17+O17),"")</f>
        <v>0</v>
      </c>
      <c r="T17" s="9">
        <f>C17</f>
        <v>44562</v>
      </c>
      <c r="U17" s="5">
        <f>-(C8-P17)</f>
        <v>-1500000</v>
      </c>
      <c r="W17" s="8"/>
    </row>
    <row r="18" spans="2:23">
      <c r="B18" s="16">
        <v>1</v>
      </c>
      <c r="C18" s="9">
        <f>Input!E61</f>
        <v>44586</v>
      </c>
      <c r="D18" s="6">
        <f>IFERROR((PPMT(Input!$E$55/12,B18,$C$6,Input!$E$54,-Input!$E$65,0))," ")</f>
        <v>-1226.3335089885136</v>
      </c>
      <c r="E18" s="6">
        <f>IFERROR((IPMT(Input!$E$55/12,B18,$C$6,Input!$E$54,-Input!$E$65,0))," ")</f>
        <v>-2937.5</v>
      </c>
      <c r="F18" s="6">
        <f>D18</f>
        <v>-1226.3335089885136</v>
      </c>
      <c r="G18" s="6">
        <f>E18</f>
        <v>-2937.5</v>
      </c>
      <c r="H18" s="6">
        <f>+IF(B18=$C$6+1,-$C$13,IFERROR(D18+E18,""))</f>
        <v>-4163.8335089885131</v>
      </c>
      <c r="I18" s="6">
        <f>+IFERROR($C$8+F18,"")</f>
        <v>1498773.6664910114</v>
      </c>
      <c r="J18" s="6">
        <f>IF(B18&lt;&gt;"",IF(AND(Input!$H$54="Annual",MOD(B18,12)=0),Input!$J$54,IF(AND(Input!$H$54="1st Installment",B18=1),Input!$J$54,IF(Input!$H$54="Monthly",Input!$J$54,""))),"")</f>
        <v>2000</v>
      </c>
      <c r="K18" s="6">
        <f>IF(B18&lt;&gt;"",IF(AND(Input!$H$55="Annual",MOD(B18,12)=0),Input!$J$55,IF(AND(Input!$H$55="1st Installment",B18=1),Input!$J$55,IF(Input!$H$55="Monthly",Input!$J$55,""))),"")</f>
        <v>0</v>
      </c>
      <c r="L18" s="6">
        <f>IF(B18&lt;&gt;"",IF(AND(Input!$H$56="Annual",MOD(B18,12)=0),Input!$J$56,IF(AND(Input!$H$56="1st Installment",B18=1),Input!$J$56,IF(Input!$H$56="Monthly",Input!$J$56,""))),"")</f>
        <v>300</v>
      </c>
      <c r="M18" s="6">
        <f>IF(B18&lt;&gt;"",IF(AND(Input!$H$57="Annual",MOD(B18,12)=0),Input!$J$57,IF(AND(Input!$H$57="1st Installment",B18=1),Input!$J$57,IF(Input!$H$57="Monthly",Input!$J$57,""))),"")</f>
        <v>3000</v>
      </c>
      <c r="N18" s="6">
        <f>IF(B18&lt;&gt;"",IF(AND(Input!$H$58="Annual",MOD(B18,12)=0),Input!$J$58,IF(AND(Input!$H$58="1st Installment",B18=1),Input!$J$58,IF(Input!$H$58="Monthly",Input!$J$58,IF(AND(Input!$H$58="End of the loan",B18=Input!$E$58),Input!$J$58,"")))),"")</f>
        <v>0</v>
      </c>
      <c r="O18" s="6">
        <f t="shared" si="0"/>
        <v>5300</v>
      </c>
      <c r="P18" s="4">
        <f t="shared" si="1"/>
        <v>9463.8335089885131</v>
      </c>
      <c r="T18" s="9">
        <f t="shared" ref="T18:T81" si="2">C18</f>
        <v>44586</v>
      </c>
      <c r="U18" s="5">
        <f>IFERROR(ROUND(_xlfn.IFNA(VLOOKUP(T18,$C$18:$P$385,14,0),0),2)," ")</f>
        <v>9463.83</v>
      </c>
    </row>
    <row r="19" spans="2:23">
      <c r="B19" s="16">
        <f>IF(B18="","",IF((B18+1)&lt;=$C$6+1,B18+1,""))</f>
        <v>2</v>
      </c>
      <c r="C19" s="9">
        <f>IF(B19="","",EDATE(C18,1))</f>
        <v>44617</v>
      </c>
      <c r="D19" s="6">
        <f>IFERROR((PPMT(Input!$E$55/12,B19,$C$6,Input!$E$54,-Input!$E$65,0))," ")</f>
        <v>-1228.7350787769496</v>
      </c>
      <c r="E19" s="6">
        <f>IFERROR(((IPMT(Input!$E$55/12,B19,$C$6,Input!$E$54,-Input!$E$65,0)))," ")</f>
        <v>-2935.0984302115644</v>
      </c>
      <c r="F19" s="6">
        <f>IF(B19&lt;=$C$6,F18+D19,"")</f>
        <v>-2455.0685877654632</v>
      </c>
      <c r="G19" s="6">
        <f>IF(B19&lt;=$C$6,G18+E19,"")</f>
        <v>-5872.5984302115648</v>
      </c>
      <c r="H19" s="6">
        <f t="shared" ref="H19:H82" si="3">+IF(B19=$C$6+1,-$C$13,IFERROR(D19+E19,""))</f>
        <v>-4163.833508988514</v>
      </c>
      <c r="I19" s="6">
        <f t="shared" ref="I19:I82" si="4">+IFERROR($C$8+F19,"")</f>
        <v>1497544.9314122344</v>
      </c>
      <c r="J19" s="6" t="str">
        <f>IF(B19&lt;&gt;"",IF(AND(Input!$H$54="Annual",MOD(B19,12)=0),Input!$J$54,IF(AND(Input!$H$54="1st Installment",B19=1),Input!$J$54,IF(Input!$H$54="Monthly",Input!$J$54,""))),"")</f>
        <v/>
      </c>
      <c r="K19" s="6">
        <f>IF(B19&lt;&gt;"",IF(AND(Input!$H$55="Annual",MOD(B19,12)=0),Input!$J$55,IF(AND(Input!$H$55="1st Installment",B19=1),Input!$J$55,IF(Input!$H$55="Monthly",Input!$J$55,""))),"")</f>
        <v>0</v>
      </c>
      <c r="L19" s="6" t="str">
        <f>IF(B19&lt;&gt;"",IF(AND(Input!$H$56="Annual",MOD(B19,12)=0),Input!$J$56,IF(AND(Input!$H$56="1st Installment",B19=1),Input!$J$56,IF(Input!$H$56="Monthly",Input!$J$56,""))),"")</f>
        <v/>
      </c>
      <c r="M19" s="6" t="str">
        <f>IF(B19&lt;&gt;"",IF(AND(Input!$H$57="Annual",MOD(B19,12)=0),Input!$J$57,IF(AND(Input!$H$57="1st Installment",B19=1),Input!$J$57,IF(Input!$H$57="Monthly",Input!$J$57,""))),"")</f>
        <v/>
      </c>
      <c r="N19" s="6" t="str">
        <f>IF(B19&lt;&gt;"",IF(AND(Input!$H$58="Annual",MOD(B19,12)=0),Input!$J$58,IF(AND(Input!$H$58="1st Installment",B19=1),Input!$J$58,IF(Input!$H$58="Monthly",Input!$J$58,IF(AND(Input!$H$58="End of the loan",B19=Input!$E$58),Input!$J$58,"")))),"")</f>
        <v/>
      </c>
      <c r="O19" s="6">
        <f t="shared" si="0"/>
        <v>0</v>
      </c>
      <c r="P19" s="4">
        <f t="shared" si="1"/>
        <v>4163.833508988514</v>
      </c>
      <c r="T19" s="9">
        <f t="shared" si="2"/>
        <v>44617</v>
      </c>
      <c r="U19" s="5">
        <f t="shared" ref="U19:U82" si="5">IFERROR(ROUND(_xlfn.IFNA(VLOOKUP(T19,$C$18:$P$385,14,0),0),2)," ")</f>
        <v>4163.83</v>
      </c>
    </row>
    <row r="20" spans="2:23">
      <c r="B20" s="16">
        <f t="shared" ref="B20:B83" si="6">IF(B19="","",IF((B19+1)&lt;=$C$6+1,B19+1,""))</f>
        <v>3</v>
      </c>
      <c r="C20" s="9">
        <f t="shared" ref="C20:C83" si="7">IF(B20="","",EDATE(C19,1))</f>
        <v>44645</v>
      </c>
      <c r="D20" s="6">
        <f>IFERROR((PPMT(Input!$E$55/12,B20,$C$6,Input!$E$54,-Input!$E$65,0))," ")</f>
        <v>-1231.1413516395546</v>
      </c>
      <c r="E20" s="6">
        <f>IFERROR(((IPMT(Input!$E$55/12,B20,$C$6,Input!$E$54,-Input!$E$65,0)))," ")</f>
        <v>-2932.6921573489594</v>
      </c>
      <c r="F20" s="6">
        <f>IF(B20&lt;=$C$6,F19+D20,"")</f>
        <v>-3686.2099394050178</v>
      </c>
      <c r="G20" s="6">
        <f t="shared" ref="G20:G83" si="8">IF(B20&lt;=$C$6,G19+E20,"")</f>
        <v>-8805.2905875605247</v>
      </c>
      <c r="H20" s="6">
        <f t="shared" si="3"/>
        <v>-4163.833508988514</v>
      </c>
      <c r="I20" s="6">
        <f t="shared" si="4"/>
        <v>1496313.7900605949</v>
      </c>
      <c r="J20" s="6" t="str">
        <f>IF(B20&lt;&gt;"",IF(AND(Input!$H$54="Annual",MOD(B20,12)=0),Input!$J$54,IF(AND(Input!$H$54="1st Installment",B20=1),Input!$J$54,IF(Input!$H$54="Monthly",Input!$J$54,""))),"")</f>
        <v/>
      </c>
      <c r="K20" s="6">
        <f>IF(B20&lt;&gt;"",IF(AND(Input!$H$55="Annual",MOD(B20,12)=0),Input!$J$55,IF(AND(Input!$H$55="1st Installment",B20=1),Input!$J$55,IF(Input!$H$55="Monthly",Input!$J$55,""))),"")</f>
        <v>0</v>
      </c>
      <c r="L20" s="6" t="str">
        <f>IF(B20&lt;&gt;"",IF(AND(Input!$H$56="Annual",MOD(B20,12)=0),Input!$J$56,IF(AND(Input!$H$56="1st Installment",B20=1),Input!$J$56,IF(Input!$H$56="Monthly",Input!$J$56,""))),"")</f>
        <v/>
      </c>
      <c r="M20" s="6" t="str">
        <f>IF(B20&lt;&gt;"",IF(AND(Input!$H$57="Annual",MOD(B20,12)=0),Input!$J$57,IF(AND(Input!$H$57="1st Installment",B20=1),Input!$J$57,IF(Input!$H$57="Monthly",Input!$J$57,""))),"")</f>
        <v/>
      </c>
      <c r="N20" s="6" t="str">
        <f>IF(B20&lt;&gt;"",IF(AND(Input!$H$58="Annual",MOD(B20,12)=0),Input!$J$58,IF(AND(Input!$H$58="1st Installment",B20=1),Input!$J$58,IF(Input!$H$58="Monthly",Input!$J$58,IF(AND(Input!$H$58="End of the loan",B20=Input!$E$58),Input!$J$58,"")))),"")</f>
        <v/>
      </c>
      <c r="O20" s="6">
        <f t="shared" si="0"/>
        <v>0</v>
      </c>
      <c r="P20" s="4">
        <f t="shared" si="1"/>
        <v>4163.833508988514</v>
      </c>
      <c r="T20" s="9">
        <f t="shared" si="2"/>
        <v>44645</v>
      </c>
      <c r="U20" s="5">
        <f t="shared" si="5"/>
        <v>4163.83</v>
      </c>
    </row>
    <row r="21" spans="2:23">
      <c r="B21" s="16">
        <f t="shared" si="6"/>
        <v>4</v>
      </c>
      <c r="C21" s="9">
        <f t="shared" si="7"/>
        <v>44676</v>
      </c>
      <c r="D21" s="6">
        <f>IFERROR((PPMT(Input!$E$55/12,B21,$C$6,Input!$E$54,-Input!$E$65,0))," ")</f>
        <v>-1233.5523367865153</v>
      </c>
      <c r="E21" s="6">
        <f>IFERROR(((IPMT(Input!$E$55/12,B21,$C$6,Input!$E$54,-Input!$E$65,0)))," ")</f>
        <v>-2930.2811722019987</v>
      </c>
      <c r="F21" s="6">
        <f t="shared" ref="F21:F84" si="9">IF(B21&lt;=$C$6,F20+D21,"")</f>
        <v>-4919.7622761915336</v>
      </c>
      <c r="G21" s="6">
        <f t="shared" si="8"/>
        <v>-11735.571759762523</v>
      </c>
      <c r="H21" s="6">
        <f t="shared" si="3"/>
        <v>-4163.833508988514</v>
      </c>
      <c r="I21" s="6">
        <f t="shared" si="4"/>
        <v>1495080.2377238085</v>
      </c>
      <c r="J21" s="6" t="str">
        <f>IF(B21&lt;&gt;"",IF(AND(Input!$H$54="Annual",MOD(B21,12)=0),Input!$J$54,IF(AND(Input!$H$54="1st Installment",B21=1),Input!$J$54,IF(Input!$H$54="Monthly",Input!$J$54,""))),"")</f>
        <v/>
      </c>
      <c r="K21" s="6">
        <f>IF(B21&lt;&gt;"",IF(AND(Input!$H$55="Annual",MOD(B21,12)=0),Input!$J$55,IF(AND(Input!$H$55="1st Installment",B21=1),Input!$J$55,IF(Input!$H$55="Monthly",Input!$J$55,""))),"")</f>
        <v>0</v>
      </c>
      <c r="L21" s="6" t="str">
        <f>IF(B21&lt;&gt;"",IF(AND(Input!$H$56="Annual",MOD(B21,12)=0),Input!$J$56,IF(AND(Input!$H$56="1st Installment",B21=1),Input!$J$56,IF(Input!$H$56="Monthly",Input!$J$56,""))),"")</f>
        <v/>
      </c>
      <c r="M21" s="6" t="str">
        <f>IF(B21&lt;&gt;"",IF(AND(Input!$H$57="Annual",MOD(B21,12)=0),Input!$J$57,IF(AND(Input!$H$57="1st Installment",B21=1),Input!$J$57,IF(Input!$H$57="Monthly",Input!$J$57,""))),"")</f>
        <v/>
      </c>
      <c r="N21" s="6" t="str">
        <f>IF(B21&lt;&gt;"",IF(AND(Input!$H$58="Annual",MOD(B21,12)=0),Input!$J$58,IF(AND(Input!$H$58="1st Installment",B21=1),Input!$J$58,IF(Input!$H$58="Monthly",Input!$J$58,IF(AND(Input!$H$58="End of the loan",B21=Input!$E$58),Input!$J$58,"")))),"")</f>
        <v/>
      </c>
      <c r="O21" s="6">
        <f t="shared" si="0"/>
        <v>0</v>
      </c>
      <c r="P21" s="4">
        <f t="shared" si="1"/>
        <v>4163.833508988514</v>
      </c>
      <c r="T21" s="9">
        <f t="shared" si="2"/>
        <v>44676</v>
      </c>
      <c r="U21" s="5">
        <f t="shared" si="5"/>
        <v>4163.83</v>
      </c>
    </row>
    <row r="22" spans="2:23">
      <c r="B22" s="16">
        <f t="shared" si="6"/>
        <v>5</v>
      </c>
      <c r="C22" s="9">
        <f t="shared" si="7"/>
        <v>44706</v>
      </c>
      <c r="D22" s="6">
        <f>IFERROR((PPMT(Input!$E$55/12,B22,$C$6,Input!$E$54,-Input!$E$65,0))," ")</f>
        <v>-1235.9680434460554</v>
      </c>
      <c r="E22" s="6">
        <f>IFERROR(((IPMT(Input!$E$55/12,B22,$C$6,Input!$E$54,-Input!$E$65,0)))," ")</f>
        <v>-2927.865465542458</v>
      </c>
      <c r="F22" s="6">
        <f t="shared" si="9"/>
        <v>-6155.7303196375888</v>
      </c>
      <c r="G22" s="6">
        <f t="shared" si="8"/>
        <v>-14663.437225304981</v>
      </c>
      <c r="H22" s="6">
        <f t="shared" si="3"/>
        <v>-4163.8335089885131</v>
      </c>
      <c r="I22" s="6">
        <f t="shared" si="4"/>
        <v>1493844.2696803624</v>
      </c>
      <c r="J22" s="6" t="str">
        <f>IF(B22&lt;&gt;"",IF(AND(Input!$H$54="Annual",MOD(B22,12)=0),Input!$J$54,IF(AND(Input!$H$54="1st Installment",B22=1),Input!$J$54,IF(Input!$H$54="Monthly",Input!$J$54,""))),"")</f>
        <v/>
      </c>
      <c r="K22" s="6">
        <f>IF(B22&lt;&gt;"",IF(AND(Input!$H$55="Annual",MOD(B22,12)=0),Input!$J$55,IF(AND(Input!$H$55="1st Installment",B22=1),Input!$J$55,IF(Input!$H$55="Monthly",Input!$J$55,""))),"")</f>
        <v>0</v>
      </c>
      <c r="L22" s="6" t="str">
        <f>IF(B22&lt;&gt;"",IF(AND(Input!$H$56="Annual",MOD(B22,12)=0),Input!$J$56,IF(AND(Input!$H$56="1st Installment",B22=1),Input!$J$56,IF(Input!$H$56="Monthly",Input!$J$56,""))),"")</f>
        <v/>
      </c>
      <c r="M22" s="6" t="str">
        <f>IF(B22&lt;&gt;"",IF(AND(Input!$H$57="Annual",MOD(B22,12)=0),Input!$J$57,IF(AND(Input!$H$57="1st Installment",B22=1),Input!$J$57,IF(Input!$H$57="Monthly",Input!$J$57,""))),"")</f>
        <v/>
      </c>
      <c r="N22" s="6" t="str">
        <f>IF(B22&lt;&gt;"",IF(AND(Input!$H$58="Annual",MOD(B22,12)=0),Input!$J$58,IF(AND(Input!$H$58="1st Installment",B22=1),Input!$J$58,IF(Input!$H$58="Monthly",Input!$J$58,IF(AND(Input!$H$58="End of the loan",B22=Input!$E$58),Input!$J$58,"")))),"")</f>
        <v/>
      </c>
      <c r="O22" s="6">
        <f t="shared" si="0"/>
        <v>0</v>
      </c>
      <c r="P22" s="4">
        <f t="shared" si="1"/>
        <v>4163.8335089885131</v>
      </c>
      <c r="T22" s="9">
        <f t="shared" si="2"/>
        <v>44706</v>
      </c>
      <c r="U22" s="5">
        <f t="shared" si="5"/>
        <v>4163.83</v>
      </c>
    </row>
    <row r="23" spans="2:23">
      <c r="B23" s="16">
        <f t="shared" si="6"/>
        <v>6</v>
      </c>
      <c r="C23" s="9">
        <f t="shared" si="7"/>
        <v>44737</v>
      </c>
      <c r="D23" s="6">
        <f>IFERROR((PPMT(Input!$E$55/12,B23,$C$6,Input!$E$54,-Input!$E$65,0))," ")</f>
        <v>-1238.3884808644707</v>
      </c>
      <c r="E23" s="6">
        <f>IFERROR(((IPMT(Input!$E$55/12,B23,$C$6,Input!$E$54,-Input!$E$65,0)))," ")</f>
        <v>-2925.4450281240429</v>
      </c>
      <c r="F23" s="6">
        <f t="shared" si="9"/>
        <v>-7394.1188005020595</v>
      </c>
      <c r="G23" s="6">
        <f t="shared" si="8"/>
        <v>-17588.882253429023</v>
      </c>
      <c r="H23" s="6">
        <f t="shared" si="3"/>
        <v>-4163.8335089885131</v>
      </c>
      <c r="I23" s="6">
        <f t="shared" si="4"/>
        <v>1492605.881199498</v>
      </c>
      <c r="J23" s="6" t="str">
        <f>IF(B23&lt;&gt;"",IF(AND(Input!$H$54="Annual",MOD(B23,12)=0),Input!$J$54,IF(AND(Input!$H$54="1st Installment",B23=1),Input!$J$54,IF(Input!$H$54="Monthly",Input!$J$54,""))),"")</f>
        <v/>
      </c>
      <c r="K23" s="6">
        <f>IF(B23&lt;&gt;"",IF(AND(Input!$H$55="Annual",MOD(B23,12)=0),Input!$J$55,IF(AND(Input!$H$55="1st Installment",B23=1),Input!$J$55,IF(Input!$H$55="Monthly",Input!$J$55,""))),"")</f>
        <v>0</v>
      </c>
      <c r="L23" s="6" t="str">
        <f>IF(B23&lt;&gt;"",IF(AND(Input!$H$56="Annual",MOD(B23,12)=0),Input!$J$56,IF(AND(Input!$H$56="1st Installment",B23=1),Input!$J$56,IF(Input!$H$56="Monthly",Input!$J$56,""))),"")</f>
        <v/>
      </c>
      <c r="M23" s="6" t="str">
        <f>IF(B23&lt;&gt;"",IF(AND(Input!$H$57="Annual",MOD(B23,12)=0),Input!$J$57,IF(AND(Input!$H$57="1st Installment",B23=1),Input!$J$57,IF(Input!$H$57="Monthly",Input!$J$57,""))),"")</f>
        <v/>
      </c>
      <c r="N23" s="6" t="str">
        <f>IF(B23&lt;&gt;"",IF(AND(Input!$H$58="Annual",MOD(B23,12)=0),Input!$J$58,IF(AND(Input!$H$58="1st Installment",B23=1),Input!$J$58,IF(Input!$H$58="Monthly",Input!$J$58,IF(AND(Input!$H$58="End of the loan",B23=Input!$E$58),Input!$J$58,"")))),"")</f>
        <v/>
      </c>
      <c r="O23" s="6">
        <f t="shared" si="0"/>
        <v>0</v>
      </c>
      <c r="P23" s="4">
        <f t="shared" si="1"/>
        <v>4163.8335089885131</v>
      </c>
      <c r="T23" s="9">
        <f t="shared" si="2"/>
        <v>44737</v>
      </c>
      <c r="U23" s="5">
        <f t="shared" si="5"/>
        <v>4163.83</v>
      </c>
    </row>
    <row r="24" spans="2:23">
      <c r="B24" s="16">
        <f t="shared" si="6"/>
        <v>7</v>
      </c>
      <c r="C24" s="9">
        <f t="shared" si="7"/>
        <v>44767</v>
      </c>
      <c r="D24" s="6">
        <f>IFERROR((PPMT(Input!$E$55/12,B24,$C$6,Input!$E$54,-Input!$E$65,0))," ")</f>
        <v>-1240.8136583061635</v>
      </c>
      <c r="E24" s="6">
        <f>IFERROR(((IPMT(Input!$E$55/12,B24,$C$6,Input!$E$54,-Input!$E$65,0)))," ")</f>
        <v>-2923.0198506823499</v>
      </c>
      <c r="F24" s="6">
        <f t="shared" si="9"/>
        <v>-8634.9324588082236</v>
      </c>
      <c r="G24" s="6">
        <f t="shared" si="8"/>
        <v>-20511.902104111374</v>
      </c>
      <c r="H24" s="6">
        <f t="shared" si="3"/>
        <v>-4163.8335089885131</v>
      </c>
      <c r="I24" s="6">
        <f t="shared" si="4"/>
        <v>1491365.0675411918</v>
      </c>
      <c r="J24" s="6" t="str">
        <f>IF(B24&lt;&gt;"",IF(AND(Input!$H$54="Annual",MOD(B24,12)=0),Input!$J$54,IF(AND(Input!$H$54="1st Installment",B24=1),Input!$J$54,IF(Input!$H$54="Monthly",Input!$J$54,""))),"")</f>
        <v/>
      </c>
      <c r="K24" s="6">
        <f>IF(B24&lt;&gt;"",IF(AND(Input!$H$55="Annual",MOD(B24,12)=0),Input!$J$55,IF(AND(Input!$H$55="1st Installment",B24=1),Input!$J$55,IF(Input!$H$55="Monthly",Input!$J$55,""))),"")</f>
        <v>0</v>
      </c>
      <c r="L24" s="6" t="str">
        <f>IF(B24&lt;&gt;"",IF(AND(Input!$H$56="Annual",MOD(B24,12)=0),Input!$J$56,IF(AND(Input!$H$56="1st Installment",B24=1),Input!$J$56,IF(Input!$H$56="Monthly",Input!$J$56,""))),"")</f>
        <v/>
      </c>
      <c r="M24" s="6" t="str">
        <f>IF(B24&lt;&gt;"",IF(AND(Input!$H$57="Annual",MOD(B24,12)=0),Input!$J$57,IF(AND(Input!$H$57="1st Installment",B24=1),Input!$J$57,IF(Input!$H$57="Monthly",Input!$J$57,""))),"")</f>
        <v/>
      </c>
      <c r="N24" s="6" t="str">
        <f>IF(B24&lt;&gt;"",IF(AND(Input!$H$58="Annual",MOD(B24,12)=0),Input!$J$58,IF(AND(Input!$H$58="1st Installment",B24=1),Input!$J$58,IF(Input!$H$58="Monthly",Input!$J$58,IF(AND(Input!$H$58="End of the loan",B24=Input!$E$58),Input!$J$58,"")))),"")</f>
        <v/>
      </c>
      <c r="O24" s="6">
        <f t="shared" si="0"/>
        <v>0</v>
      </c>
      <c r="P24" s="4">
        <f t="shared" si="1"/>
        <v>4163.8335089885131</v>
      </c>
      <c r="T24" s="9">
        <f t="shared" si="2"/>
        <v>44767</v>
      </c>
      <c r="U24" s="5">
        <f t="shared" si="5"/>
        <v>4163.83</v>
      </c>
    </row>
    <row r="25" spans="2:23">
      <c r="B25" s="16">
        <f t="shared" si="6"/>
        <v>8</v>
      </c>
      <c r="C25" s="9">
        <f t="shared" si="7"/>
        <v>44798</v>
      </c>
      <c r="D25" s="6">
        <f>IFERROR((PPMT(Input!$E$55/12,B25,$C$6,Input!$E$54,-Input!$E$65,0))," ")</f>
        <v>-1243.2435850536799</v>
      </c>
      <c r="E25" s="6">
        <f>IFERROR(((IPMT(Input!$E$55/12,B25,$C$6,Input!$E$54,-Input!$E$65,0)))," ")</f>
        <v>-2920.5899239348337</v>
      </c>
      <c r="F25" s="6">
        <f t="shared" si="9"/>
        <v>-9878.176043861904</v>
      </c>
      <c r="G25" s="6">
        <f t="shared" si="8"/>
        <v>-23432.492028046207</v>
      </c>
      <c r="H25" s="6">
        <f t="shared" si="3"/>
        <v>-4163.8335089885131</v>
      </c>
      <c r="I25" s="6">
        <f t="shared" si="4"/>
        <v>1490121.823956138</v>
      </c>
      <c r="J25" s="6" t="str">
        <f>IF(B25&lt;&gt;"",IF(AND(Input!$H$54="Annual",MOD(B25,12)=0),Input!$J$54,IF(AND(Input!$H$54="1st Installment",B25=1),Input!$J$54,IF(Input!$H$54="Monthly",Input!$J$54,""))),"")</f>
        <v/>
      </c>
      <c r="K25" s="6">
        <f>IF(B25&lt;&gt;"",IF(AND(Input!$H$55="Annual",MOD(B25,12)=0),Input!$J$55,IF(AND(Input!$H$55="1st Installment",B25=1),Input!$J$55,IF(Input!$H$55="Monthly",Input!$J$55,""))),"")</f>
        <v>0</v>
      </c>
      <c r="L25" s="6" t="str">
        <f>IF(B25&lt;&gt;"",IF(AND(Input!$H$56="Annual",MOD(B25,12)=0),Input!$J$56,IF(AND(Input!$H$56="1st Installment",B25=1),Input!$J$56,IF(Input!$H$56="Monthly",Input!$J$56,""))),"")</f>
        <v/>
      </c>
      <c r="M25" s="6" t="str">
        <f>IF(B25&lt;&gt;"",IF(AND(Input!$H$57="Annual",MOD(B25,12)=0),Input!$J$57,IF(AND(Input!$H$57="1st Installment",B25=1),Input!$J$57,IF(Input!$H$57="Monthly",Input!$J$57,""))),"")</f>
        <v/>
      </c>
      <c r="N25" s="6" t="str">
        <f>IF(B25&lt;&gt;"",IF(AND(Input!$H$58="Annual",MOD(B25,12)=0),Input!$J$58,IF(AND(Input!$H$58="1st Installment",B25=1),Input!$J$58,IF(Input!$H$58="Monthly",Input!$J$58,IF(AND(Input!$H$58="End of the loan",B25=Input!$E$58),Input!$J$58,"")))),"")</f>
        <v/>
      </c>
      <c r="O25" s="6">
        <f t="shared" si="0"/>
        <v>0</v>
      </c>
      <c r="P25" s="4">
        <f t="shared" si="1"/>
        <v>4163.8335089885131</v>
      </c>
      <c r="T25" s="9">
        <f t="shared" si="2"/>
        <v>44798</v>
      </c>
      <c r="U25" s="5">
        <f t="shared" si="5"/>
        <v>4163.83</v>
      </c>
    </row>
    <row r="26" spans="2:23">
      <c r="B26" s="16">
        <f t="shared" si="6"/>
        <v>9</v>
      </c>
      <c r="C26" s="9">
        <f t="shared" si="7"/>
        <v>44829</v>
      </c>
      <c r="D26" s="6">
        <f>IFERROR((PPMT(Input!$E$55/12,B26,$C$6,Input!$E$54,-Input!$E$65,0))," ")</f>
        <v>-1245.6782704077432</v>
      </c>
      <c r="E26" s="6">
        <f>IFERROR(((IPMT(Input!$E$55/12,B26,$C$6,Input!$E$54,-Input!$E$65,0)))," ")</f>
        <v>-2918.1552385807704</v>
      </c>
      <c r="F26" s="6">
        <f t="shared" si="9"/>
        <v>-11123.854314269647</v>
      </c>
      <c r="G26" s="6">
        <f t="shared" si="8"/>
        <v>-26350.647266626976</v>
      </c>
      <c r="H26" s="6">
        <f t="shared" si="3"/>
        <v>-4163.8335089885131</v>
      </c>
      <c r="I26" s="6">
        <f t="shared" si="4"/>
        <v>1488876.1456857303</v>
      </c>
      <c r="J26" s="6" t="str">
        <f>IF(B26&lt;&gt;"",IF(AND(Input!$H$54="Annual",MOD(B26,12)=0),Input!$J$54,IF(AND(Input!$H$54="1st Installment",B26=1),Input!$J$54,IF(Input!$H$54="Monthly",Input!$J$54,""))),"")</f>
        <v/>
      </c>
      <c r="K26" s="6">
        <f>IF(B26&lt;&gt;"",IF(AND(Input!$H$55="Annual",MOD(B26,12)=0),Input!$J$55,IF(AND(Input!$H$55="1st Installment",B26=1),Input!$J$55,IF(Input!$H$55="Monthly",Input!$J$55,""))),"")</f>
        <v>0</v>
      </c>
      <c r="L26" s="6" t="str">
        <f>IF(B26&lt;&gt;"",IF(AND(Input!$H$56="Annual",MOD(B26,12)=0),Input!$J$56,IF(AND(Input!$H$56="1st Installment",B26=1),Input!$J$56,IF(Input!$H$56="Monthly",Input!$J$56,""))),"")</f>
        <v/>
      </c>
      <c r="M26" s="6" t="str">
        <f>IF(B26&lt;&gt;"",IF(AND(Input!$H$57="Annual",MOD(B26,12)=0),Input!$J$57,IF(AND(Input!$H$57="1st Installment",B26=1),Input!$J$57,IF(Input!$H$57="Monthly",Input!$J$57,""))),"")</f>
        <v/>
      </c>
      <c r="N26" s="6" t="str">
        <f>IF(B26&lt;&gt;"",IF(AND(Input!$H$58="Annual",MOD(B26,12)=0),Input!$J$58,IF(AND(Input!$H$58="1st Installment",B26=1),Input!$J$58,IF(Input!$H$58="Monthly",Input!$J$58,IF(AND(Input!$H$58="End of the loan",B26=Input!$E$58),Input!$J$58,"")))),"")</f>
        <v/>
      </c>
      <c r="O26" s="6">
        <f t="shared" si="0"/>
        <v>0</v>
      </c>
      <c r="P26" s="4">
        <f t="shared" si="1"/>
        <v>4163.8335089885131</v>
      </c>
      <c r="T26" s="9">
        <f t="shared" si="2"/>
        <v>44829</v>
      </c>
      <c r="U26" s="5">
        <f t="shared" si="5"/>
        <v>4163.83</v>
      </c>
    </row>
    <row r="27" spans="2:23">
      <c r="B27" s="16">
        <f t="shared" si="6"/>
        <v>10</v>
      </c>
      <c r="C27" s="9">
        <f t="shared" si="7"/>
        <v>44859</v>
      </c>
      <c r="D27" s="6">
        <f>IFERROR((PPMT(Input!$E$55/12,B27,$C$6,Input!$E$54,-Input!$E$65,0))," ")</f>
        <v>-1248.1177236872916</v>
      </c>
      <c r="E27" s="6">
        <f>IFERROR(((IPMT(Input!$E$55/12,B27,$C$6,Input!$E$54,-Input!$E$65,0)))," ")</f>
        <v>-2915.7157853012222</v>
      </c>
      <c r="F27" s="6">
        <f t="shared" si="9"/>
        <v>-12371.972037956939</v>
      </c>
      <c r="G27" s="6">
        <f t="shared" si="8"/>
        <v>-29266.363051928198</v>
      </c>
      <c r="H27" s="6">
        <f t="shared" si="3"/>
        <v>-4163.833508988514</v>
      </c>
      <c r="I27" s="6">
        <f t="shared" si="4"/>
        <v>1487628.027962043</v>
      </c>
      <c r="J27" s="6" t="str">
        <f>IF(B27&lt;&gt;"",IF(AND(Input!$H$54="Annual",MOD(B27,12)=0),Input!$J$54,IF(AND(Input!$H$54="1st Installment",B27=1),Input!$J$54,IF(Input!$H$54="Monthly",Input!$J$54,""))),"")</f>
        <v/>
      </c>
      <c r="K27" s="6">
        <f>IF(B27&lt;&gt;"",IF(AND(Input!$H$55="Annual",MOD(B27,12)=0),Input!$J$55,IF(AND(Input!$H$55="1st Installment",B27=1),Input!$J$55,IF(Input!$H$55="Monthly",Input!$J$55,""))),"")</f>
        <v>0</v>
      </c>
      <c r="L27" s="6" t="str">
        <f>IF(B27&lt;&gt;"",IF(AND(Input!$H$56="Annual",MOD(B27,12)=0),Input!$J$56,IF(AND(Input!$H$56="1st Installment",B27=1),Input!$J$56,IF(Input!$H$56="Monthly",Input!$J$56,""))),"")</f>
        <v/>
      </c>
      <c r="M27" s="6" t="str">
        <f>IF(B27&lt;&gt;"",IF(AND(Input!$H$57="Annual",MOD(B27,12)=0),Input!$J$57,IF(AND(Input!$H$57="1st Installment",B27=1),Input!$J$57,IF(Input!$H$57="Monthly",Input!$J$57,""))),"")</f>
        <v/>
      </c>
      <c r="N27" s="6" t="str">
        <f>IF(B27&lt;&gt;"",IF(AND(Input!$H$58="Annual",MOD(B27,12)=0),Input!$J$58,IF(AND(Input!$H$58="1st Installment",B27=1),Input!$J$58,IF(Input!$H$58="Monthly",Input!$J$58,IF(AND(Input!$H$58="End of the loan",B27=Input!$E$58),Input!$J$58,"")))),"")</f>
        <v/>
      </c>
      <c r="O27" s="6">
        <f t="shared" si="0"/>
        <v>0</v>
      </c>
      <c r="P27" s="4">
        <f t="shared" si="1"/>
        <v>4163.833508988514</v>
      </c>
      <c r="T27" s="9">
        <f t="shared" si="2"/>
        <v>44859</v>
      </c>
      <c r="U27" s="5">
        <f t="shared" si="5"/>
        <v>4163.83</v>
      </c>
    </row>
    <row r="28" spans="2:23">
      <c r="B28" s="16">
        <f t="shared" si="6"/>
        <v>11</v>
      </c>
      <c r="C28" s="9">
        <f t="shared" si="7"/>
        <v>44890</v>
      </c>
      <c r="D28" s="6">
        <f>IFERROR((PPMT(Input!$E$55/12,B28,$C$6,Input!$E$54,-Input!$E$65,0))," ")</f>
        <v>-1250.5619542295126</v>
      </c>
      <c r="E28" s="6">
        <f>IFERROR(((IPMT(Input!$E$55/12,B28,$C$6,Input!$E$54,-Input!$E$65,0)))," ")</f>
        <v>-2913.271554759001</v>
      </c>
      <c r="F28" s="6">
        <f t="shared" si="9"/>
        <v>-13622.533992186451</v>
      </c>
      <c r="G28" s="6">
        <f t="shared" si="8"/>
        <v>-32179.634606687199</v>
      </c>
      <c r="H28" s="6">
        <f t="shared" si="3"/>
        <v>-4163.8335089885131</v>
      </c>
      <c r="I28" s="6">
        <f t="shared" si="4"/>
        <v>1486377.4660078136</v>
      </c>
      <c r="J28" s="6" t="str">
        <f>IF(B28&lt;&gt;"",IF(AND(Input!$H$54="Annual",MOD(B28,12)=0),Input!$J$54,IF(AND(Input!$H$54="1st Installment",B28=1),Input!$J$54,IF(Input!$H$54="Monthly",Input!$J$54,""))),"")</f>
        <v/>
      </c>
      <c r="K28" s="6">
        <f>IF(B28&lt;&gt;"",IF(AND(Input!$H$55="Annual",MOD(B28,12)=0),Input!$J$55,IF(AND(Input!$H$55="1st Installment",B28=1),Input!$J$55,IF(Input!$H$55="Monthly",Input!$J$55,""))),"")</f>
        <v>0</v>
      </c>
      <c r="L28" s="6" t="str">
        <f>IF(B28&lt;&gt;"",IF(AND(Input!$H$56="Annual",MOD(B28,12)=0),Input!$J$56,IF(AND(Input!$H$56="1st Installment",B28=1),Input!$J$56,IF(Input!$H$56="Monthly",Input!$J$56,""))),"")</f>
        <v/>
      </c>
      <c r="M28" s="6" t="str">
        <f>IF(B28&lt;&gt;"",IF(AND(Input!$H$57="Annual",MOD(B28,12)=0),Input!$J$57,IF(AND(Input!$H$57="1st Installment",B28=1),Input!$J$57,IF(Input!$H$57="Monthly",Input!$J$57,""))),"")</f>
        <v/>
      </c>
      <c r="N28" s="6" t="str">
        <f>IF(B28&lt;&gt;"",IF(AND(Input!$H$58="Annual",MOD(B28,12)=0),Input!$J$58,IF(AND(Input!$H$58="1st Installment",B28=1),Input!$J$58,IF(Input!$H$58="Monthly",Input!$J$58,IF(AND(Input!$H$58="End of the loan",B28=Input!$E$58),Input!$J$58,"")))),"")</f>
        <v/>
      </c>
      <c r="O28" s="6">
        <f t="shared" si="0"/>
        <v>0</v>
      </c>
      <c r="P28" s="4">
        <f t="shared" si="1"/>
        <v>4163.8335089885131</v>
      </c>
      <c r="T28" s="9">
        <f t="shared" si="2"/>
        <v>44890</v>
      </c>
      <c r="U28" s="5">
        <f t="shared" si="5"/>
        <v>4163.83</v>
      </c>
    </row>
    <row r="29" spans="2:23">
      <c r="B29" s="16">
        <f t="shared" si="6"/>
        <v>12</v>
      </c>
      <c r="C29" s="9">
        <f t="shared" si="7"/>
        <v>44920</v>
      </c>
      <c r="D29" s="6">
        <f>IFERROR((PPMT(Input!$E$55/12,B29,$C$6,Input!$E$54,-Input!$E$65,0))," ")</f>
        <v>-1253.0109713898787</v>
      </c>
      <c r="E29" s="6">
        <f>IFERROR(((IPMT(Input!$E$55/12,B29,$C$6,Input!$E$54,-Input!$E$65,0)))," ")</f>
        <v>-2910.8225375986349</v>
      </c>
      <c r="F29" s="6">
        <f t="shared" si="9"/>
        <v>-14875.544963576329</v>
      </c>
      <c r="G29" s="6">
        <f t="shared" si="8"/>
        <v>-35090.457144285836</v>
      </c>
      <c r="H29" s="6">
        <f t="shared" si="3"/>
        <v>-4163.8335089885131</v>
      </c>
      <c r="I29" s="6">
        <f t="shared" si="4"/>
        <v>1485124.4550364236</v>
      </c>
      <c r="J29" s="6" t="str">
        <f>IF(B29&lt;&gt;"",IF(AND(Input!$H$54="Annual",MOD(B29,12)=0),Input!$J$54,IF(AND(Input!$H$54="1st Installment",B29=1),Input!$J$54,IF(Input!$H$54="Monthly",Input!$J$54,""))),"")</f>
        <v/>
      </c>
      <c r="K29" s="6">
        <f>IF(B29&lt;&gt;"",IF(AND(Input!$H$55="Annual",MOD(B29,12)=0),Input!$J$55,IF(AND(Input!$H$55="1st Installment",B29=1),Input!$J$55,IF(Input!$H$55="Monthly",Input!$J$55,""))),"")</f>
        <v>0</v>
      </c>
      <c r="L29" s="6" t="str">
        <f>IF(B29&lt;&gt;"",IF(AND(Input!$H$56="Annual",MOD(B29,12)=0),Input!$J$56,IF(AND(Input!$H$56="1st Installment",B29=1),Input!$J$56,IF(Input!$H$56="Monthly",Input!$J$56,""))),"")</f>
        <v/>
      </c>
      <c r="M29" s="6" t="str">
        <f>IF(B29&lt;&gt;"",IF(AND(Input!$H$57="Annual",MOD(B29,12)=0),Input!$J$57,IF(AND(Input!$H$57="1st Installment",B29=1),Input!$J$57,IF(Input!$H$57="Monthly",Input!$J$57,""))),"")</f>
        <v/>
      </c>
      <c r="N29" s="6" t="str">
        <f>IF(B29&lt;&gt;"",IF(AND(Input!$H$58="Annual",MOD(B29,12)=0),Input!$J$58,IF(AND(Input!$H$58="1st Installment",B29=1),Input!$J$58,IF(Input!$H$58="Monthly",Input!$J$58,IF(AND(Input!$H$58="End of the loan",B29=Input!$E$58),Input!$J$58,"")))),"")</f>
        <v/>
      </c>
      <c r="O29" s="6">
        <f t="shared" si="0"/>
        <v>0</v>
      </c>
      <c r="P29" s="4">
        <f t="shared" si="1"/>
        <v>4163.8335089885131</v>
      </c>
      <c r="T29" s="9">
        <f t="shared" si="2"/>
        <v>44920</v>
      </c>
      <c r="U29" s="5">
        <f t="shared" si="5"/>
        <v>4163.83</v>
      </c>
    </row>
    <row r="30" spans="2:23">
      <c r="B30" s="16">
        <f t="shared" si="6"/>
        <v>13</v>
      </c>
      <c r="C30" s="9">
        <f t="shared" si="7"/>
        <v>44951</v>
      </c>
      <c r="D30" s="6">
        <f>IFERROR((PPMT(Input!$E$55/12,B30,$C$6,Input!$E$54,-Input!$E$65,0))," ")</f>
        <v>-1255.4647845421841</v>
      </c>
      <c r="E30" s="6">
        <f>IFERROR(((IPMT(Input!$E$55/12,B30,$C$6,Input!$E$54,-Input!$E$65,0)))," ")</f>
        <v>-2908.3687244463295</v>
      </c>
      <c r="F30" s="6">
        <f t="shared" si="9"/>
        <v>-16131.009748118513</v>
      </c>
      <c r="G30" s="6">
        <f t="shared" si="8"/>
        <v>-37998.825868732165</v>
      </c>
      <c r="H30" s="6">
        <f t="shared" si="3"/>
        <v>-4163.8335089885131</v>
      </c>
      <c r="I30" s="6">
        <f t="shared" si="4"/>
        <v>1483868.9902518815</v>
      </c>
      <c r="J30" s="6" t="str">
        <f>IF(B30&lt;&gt;"",IF(AND(Input!$H$54="Annual",MOD(B30,12)=0),Input!$J$54,IF(AND(Input!$H$54="1st Installment",B30=1),Input!$J$54,IF(Input!$H$54="Monthly",Input!$J$54,""))),"")</f>
        <v/>
      </c>
      <c r="K30" s="6">
        <f>IF(B30&lt;&gt;"",IF(AND(Input!$H$55="Annual",MOD(B30,12)=0),Input!$J$55,IF(AND(Input!$H$55="1st Installment",B30=1),Input!$J$55,IF(Input!$H$55="Monthly",Input!$J$55,""))),"")</f>
        <v>0</v>
      </c>
      <c r="L30" s="6" t="str">
        <f>IF(B30&lt;&gt;"",IF(AND(Input!$H$56="Annual",MOD(B30,12)=0),Input!$J$56,IF(AND(Input!$H$56="1st Installment",B30=1),Input!$J$56,IF(Input!$H$56="Monthly",Input!$J$56,""))),"")</f>
        <v/>
      </c>
      <c r="M30" s="6" t="str">
        <f>IF(B30&lt;&gt;"",IF(AND(Input!$H$57="Annual",MOD(B30,12)=0),Input!$J$57,IF(AND(Input!$H$57="1st Installment",B30=1),Input!$J$57,IF(Input!$H$57="Monthly",Input!$J$57,""))),"")</f>
        <v/>
      </c>
      <c r="N30" s="6" t="str">
        <f>IF(B30&lt;&gt;"",IF(AND(Input!$H$58="Annual",MOD(B30,12)=0),Input!$J$58,IF(AND(Input!$H$58="1st Installment",B30=1),Input!$J$58,IF(Input!$H$58="Monthly",Input!$J$58,IF(AND(Input!$H$58="End of the loan",B30=Input!$E$58),Input!$J$58,"")))),"")</f>
        <v/>
      </c>
      <c r="O30" s="6">
        <f t="shared" si="0"/>
        <v>0</v>
      </c>
      <c r="P30" s="4">
        <f t="shared" si="1"/>
        <v>4163.8335089885131</v>
      </c>
      <c r="T30" s="9">
        <f t="shared" si="2"/>
        <v>44951</v>
      </c>
      <c r="U30" s="5">
        <f t="shared" si="5"/>
        <v>4163.83</v>
      </c>
    </row>
    <row r="31" spans="2:23">
      <c r="B31" s="16">
        <f t="shared" si="6"/>
        <v>14</v>
      </c>
      <c r="C31" s="9">
        <f t="shared" si="7"/>
        <v>44982</v>
      </c>
      <c r="D31" s="6">
        <f>IFERROR((PPMT(Input!$E$55/12,B31,$C$6,Input!$E$54,-Input!$E$65,0))," ")</f>
        <v>-1257.9234030785792</v>
      </c>
      <c r="E31" s="6">
        <f>IFERROR(((IPMT(Input!$E$55/12,B31,$C$6,Input!$E$54,-Input!$E$65,0)))," ")</f>
        <v>-2905.9101059099344</v>
      </c>
      <c r="F31" s="6">
        <f t="shared" si="9"/>
        <v>-17388.933151197092</v>
      </c>
      <c r="G31" s="6">
        <f t="shared" si="8"/>
        <v>-40904.735974642099</v>
      </c>
      <c r="H31" s="6">
        <f t="shared" si="3"/>
        <v>-4163.8335089885131</v>
      </c>
      <c r="I31" s="6">
        <f t="shared" si="4"/>
        <v>1482611.0668488028</v>
      </c>
      <c r="J31" s="6" t="str">
        <f>IF(B31&lt;&gt;"",IF(AND(Input!$H$54="Annual",MOD(B31,12)=0),Input!$J$54,IF(AND(Input!$H$54="1st Installment",B31=1),Input!$J$54,IF(Input!$H$54="Monthly",Input!$J$54,""))),"")</f>
        <v/>
      </c>
      <c r="K31" s="6">
        <f>IF(B31&lt;&gt;"",IF(AND(Input!$H$55="Annual",MOD(B31,12)=0),Input!$J$55,IF(AND(Input!$H$55="1st Installment",B31=1),Input!$J$55,IF(Input!$H$55="Monthly",Input!$J$55,""))),"")</f>
        <v>0</v>
      </c>
      <c r="L31" s="6" t="str">
        <f>IF(B31&lt;&gt;"",IF(AND(Input!$H$56="Annual",MOD(B31,12)=0),Input!$J$56,IF(AND(Input!$H$56="1st Installment",B31=1),Input!$J$56,IF(Input!$H$56="Monthly",Input!$J$56,""))),"")</f>
        <v/>
      </c>
      <c r="M31" s="6" t="str">
        <f>IF(B31&lt;&gt;"",IF(AND(Input!$H$57="Annual",MOD(B31,12)=0),Input!$J$57,IF(AND(Input!$H$57="1st Installment",B31=1),Input!$J$57,IF(Input!$H$57="Monthly",Input!$J$57,""))),"")</f>
        <v/>
      </c>
      <c r="N31" s="6" t="str">
        <f>IF(B31&lt;&gt;"",IF(AND(Input!$H$58="Annual",MOD(B31,12)=0),Input!$J$58,IF(AND(Input!$H$58="1st Installment",B31=1),Input!$J$58,IF(Input!$H$58="Monthly",Input!$J$58,IF(AND(Input!$H$58="End of the loan",B31=Input!$E$58),Input!$J$58,"")))),"")</f>
        <v/>
      </c>
      <c r="O31" s="6">
        <f t="shared" si="0"/>
        <v>0</v>
      </c>
      <c r="P31" s="4">
        <f t="shared" si="1"/>
        <v>4163.8335089885131</v>
      </c>
      <c r="T31" s="9">
        <f t="shared" si="2"/>
        <v>44982</v>
      </c>
      <c r="U31" s="5">
        <f t="shared" si="5"/>
        <v>4163.83</v>
      </c>
    </row>
    <row r="32" spans="2:23">
      <c r="B32" s="16">
        <f t="shared" si="6"/>
        <v>15</v>
      </c>
      <c r="C32" s="9">
        <f t="shared" si="7"/>
        <v>45010</v>
      </c>
      <c r="D32" s="6">
        <f>IFERROR((PPMT(Input!$E$55/12,B32,$C$6,Input!$E$54,-Input!$E$65,0))," ")</f>
        <v>-1260.3868364096079</v>
      </c>
      <c r="E32" s="6">
        <f>IFERROR(((IPMT(Input!$E$55/12,B32,$C$6,Input!$E$54,-Input!$E$65,0)))," ")</f>
        <v>-2903.4466725789057</v>
      </c>
      <c r="F32" s="6">
        <f t="shared" si="9"/>
        <v>-18649.319987606701</v>
      </c>
      <c r="G32" s="6">
        <f t="shared" si="8"/>
        <v>-43808.182647221001</v>
      </c>
      <c r="H32" s="6">
        <f t="shared" si="3"/>
        <v>-4163.8335089885131</v>
      </c>
      <c r="I32" s="6">
        <f t="shared" si="4"/>
        <v>1481350.6800123933</v>
      </c>
      <c r="J32" s="6" t="str">
        <f>IF(B32&lt;&gt;"",IF(AND(Input!$H$54="Annual",MOD(B32,12)=0),Input!$J$54,IF(AND(Input!$H$54="1st Installment",B32=1),Input!$J$54,IF(Input!$H$54="Monthly",Input!$J$54,""))),"")</f>
        <v/>
      </c>
      <c r="K32" s="6">
        <f>IF(B32&lt;&gt;"",IF(AND(Input!$H$55="Annual",MOD(B32,12)=0),Input!$J$55,IF(AND(Input!$H$55="1st Installment",B32=1),Input!$J$55,IF(Input!$H$55="Monthly",Input!$J$55,""))),"")</f>
        <v>0</v>
      </c>
      <c r="L32" s="6" t="str">
        <f>IF(B32&lt;&gt;"",IF(AND(Input!$H$56="Annual",MOD(B32,12)=0),Input!$J$56,IF(AND(Input!$H$56="1st Installment",B32=1),Input!$J$56,IF(Input!$H$56="Monthly",Input!$J$56,""))),"")</f>
        <v/>
      </c>
      <c r="M32" s="6" t="str">
        <f>IF(B32&lt;&gt;"",IF(AND(Input!$H$57="Annual",MOD(B32,12)=0),Input!$J$57,IF(AND(Input!$H$57="1st Installment",B32=1),Input!$J$57,IF(Input!$H$57="Monthly",Input!$J$57,""))),"")</f>
        <v/>
      </c>
      <c r="N32" s="6" t="str">
        <f>IF(B32&lt;&gt;"",IF(AND(Input!$H$58="Annual",MOD(B32,12)=0),Input!$J$58,IF(AND(Input!$H$58="1st Installment",B32=1),Input!$J$58,IF(Input!$H$58="Monthly",Input!$J$58,IF(AND(Input!$H$58="End of the loan",B32=Input!$E$58),Input!$J$58,"")))),"")</f>
        <v/>
      </c>
      <c r="O32" s="6">
        <f t="shared" si="0"/>
        <v>0</v>
      </c>
      <c r="P32" s="4">
        <f t="shared" si="1"/>
        <v>4163.8335089885131</v>
      </c>
      <c r="T32" s="9">
        <f t="shared" si="2"/>
        <v>45010</v>
      </c>
      <c r="U32" s="5">
        <f t="shared" si="5"/>
        <v>4163.83</v>
      </c>
    </row>
    <row r="33" spans="2:21">
      <c r="B33" s="16">
        <f t="shared" si="6"/>
        <v>16</v>
      </c>
      <c r="C33" s="9">
        <f t="shared" si="7"/>
        <v>45041</v>
      </c>
      <c r="D33" s="6">
        <f>IFERROR((PPMT(Input!$E$55/12,B33,$C$6,Input!$E$54,-Input!$E$65,0))," ")</f>
        <v>-1262.8550939642435</v>
      </c>
      <c r="E33" s="6">
        <f>IFERROR(((IPMT(Input!$E$55/12,B33,$C$6,Input!$E$54,-Input!$E$65,0)))," ")</f>
        <v>-2900.9784150242699</v>
      </c>
      <c r="F33" s="6">
        <f t="shared" si="9"/>
        <v>-19912.175081570946</v>
      </c>
      <c r="G33" s="6">
        <f t="shared" si="8"/>
        <v>-46709.161062245272</v>
      </c>
      <c r="H33" s="6">
        <f t="shared" si="3"/>
        <v>-4163.8335089885131</v>
      </c>
      <c r="I33" s="6">
        <f t="shared" si="4"/>
        <v>1480087.8249184291</v>
      </c>
      <c r="J33" s="6" t="str">
        <f>IF(B33&lt;&gt;"",IF(AND(Input!$H$54="Annual",MOD(B33,12)=0),Input!$J$54,IF(AND(Input!$H$54="1st Installment",B33=1),Input!$J$54,IF(Input!$H$54="Monthly",Input!$J$54,""))),"")</f>
        <v/>
      </c>
      <c r="K33" s="6">
        <f>IF(B33&lt;&gt;"",IF(AND(Input!$H$55="Annual",MOD(B33,12)=0),Input!$J$55,IF(AND(Input!$H$55="1st Installment",B33=1),Input!$J$55,IF(Input!$H$55="Monthly",Input!$J$55,""))),"")</f>
        <v>0</v>
      </c>
      <c r="L33" s="6" t="str">
        <f>IF(B33&lt;&gt;"",IF(AND(Input!$H$56="Annual",MOD(B33,12)=0),Input!$J$56,IF(AND(Input!$H$56="1st Installment",B33=1),Input!$J$56,IF(Input!$H$56="Monthly",Input!$J$56,""))),"")</f>
        <v/>
      </c>
      <c r="M33" s="6" t="str">
        <f>IF(B33&lt;&gt;"",IF(AND(Input!$H$57="Annual",MOD(B33,12)=0),Input!$J$57,IF(AND(Input!$H$57="1st Installment",B33=1),Input!$J$57,IF(Input!$H$57="Monthly",Input!$J$57,""))),"")</f>
        <v/>
      </c>
      <c r="N33" s="6" t="str">
        <f>IF(B33&lt;&gt;"",IF(AND(Input!$H$58="Annual",MOD(B33,12)=0),Input!$J$58,IF(AND(Input!$H$58="1st Installment",B33=1),Input!$J$58,IF(Input!$H$58="Monthly",Input!$J$58,IF(AND(Input!$H$58="End of the loan",B33=Input!$E$58),Input!$J$58,"")))),"")</f>
        <v/>
      </c>
      <c r="O33" s="6">
        <f t="shared" si="0"/>
        <v>0</v>
      </c>
      <c r="P33" s="4">
        <f t="shared" si="1"/>
        <v>4163.8335089885131</v>
      </c>
      <c r="T33" s="9">
        <f t="shared" si="2"/>
        <v>45041</v>
      </c>
      <c r="U33" s="5">
        <f t="shared" si="5"/>
        <v>4163.83</v>
      </c>
    </row>
    <row r="34" spans="2:21">
      <c r="B34" s="16">
        <f t="shared" si="6"/>
        <v>17</v>
      </c>
      <c r="C34" s="9">
        <f t="shared" si="7"/>
        <v>45071</v>
      </c>
      <c r="D34" s="6">
        <f>IFERROR((PPMT(Input!$E$55/12,B34,$C$6,Input!$E$54,-Input!$E$65,0))," ")</f>
        <v>-1265.3281851899235</v>
      </c>
      <c r="E34" s="6">
        <f>IFERROR(((IPMT(Input!$E$55/12,B34,$C$6,Input!$E$54,-Input!$E$65,0)))," ")</f>
        <v>-2898.5053237985903</v>
      </c>
      <c r="F34" s="6">
        <f t="shared" si="9"/>
        <v>-21177.503266760868</v>
      </c>
      <c r="G34" s="6">
        <f t="shared" si="8"/>
        <v>-49607.666386043864</v>
      </c>
      <c r="H34" s="6">
        <f t="shared" si="3"/>
        <v>-4163.833508988514</v>
      </c>
      <c r="I34" s="6">
        <f t="shared" si="4"/>
        <v>1478822.4967332392</v>
      </c>
      <c r="J34" s="6" t="str">
        <f>IF(B34&lt;&gt;"",IF(AND(Input!$H$54="Annual",MOD(B34,12)=0),Input!$J$54,IF(AND(Input!$H$54="1st Installment",B34=1),Input!$J$54,IF(Input!$H$54="Monthly",Input!$J$54,""))),"")</f>
        <v/>
      </c>
      <c r="K34" s="6">
        <f>IF(B34&lt;&gt;"",IF(AND(Input!$H$55="Annual",MOD(B34,12)=0),Input!$J$55,IF(AND(Input!$H$55="1st Installment",B34=1),Input!$J$55,IF(Input!$H$55="Monthly",Input!$J$55,""))),"")</f>
        <v>0</v>
      </c>
      <c r="L34" s="6" t="str">
        <f>IF(B34&lt;&gt;"",IF(AND(Input!$H$56="Annual",MOD(B34,12)=0),Input!$J$56,IF(AND(Input!$H$56="1st Installment",B34=1),Input!$J$56,IF(Input!$H$56="Monthly",Input!$J$56,""))),"")</f>
        <v/>
      </c>
      <c r="M34" s="6" t="str">
        <f>IF(B34&lt;&gt;"",IF(AND(Input!$H$57="Annual",MOD(B34,12)=0),Input!$J$57,IF(AND(Input!$H$57="1st Installment",B34=1),Input!$J$57,IF(Input!$H$57="Monthly",Input!$J$57,""))),"")</f>
        <v/>
      </c>
      <c r="N34" s="6" t="str">
        <f>IF(B34&lt;&gt;"",IF(AND(Input!$H$58="Annual",MOD(B34,12)=0),Input!$J$58,IF(AND(Input!$H$58="1st Installment",B34=1),Input!$J$58,IF(Input!$H$58="Monthly",Input!$J$58,IF(AND(Input!$H$58="End of the loan",B34=Input!$E$58),Input!$J$58,"")))),"")</f>
        <v/>
      </c>
      <c r="O34" s="6">
        <f t="shared" si="0"/>
        <v>0</v>
      </c>
      <c r="P34" s="4">
        <f t="shared" si="1"/>
        <v>4163.833508988514</v>
      </c>
      <c r="T34" s="9">
        <f t="shared" si="2"/>
        <v>45071</v>
      </c>
      <c r="U34" s="5">
        <f t="shared" si="5"/>
        <v>4163.83</v>
      </c>
    </row>
    <row r="35" spans="2:21">
      <c r="B35" s="16">
        <f t="shared" si="6"/>
        <v>18</v>
      </c>
      <c r="C35" s="9">
        <f t="shared" si="7"/>
        <v>45102</v>
      </c>
      <c r="D35" s="6">
        <f>IFERROR((PPMT(Input!$E$55/12,B35,$C$6,Input!$E$54,-Input!$E$65,0))," ")</f>
        <v>-1267.806119552587</v>
      </c>
      <c r="E35" s="6">
        <f>IFERROR(((IPMT(Input!$E$55/12,B35,$C$6,Input!$E$54,-Input!$E$65,0)))," ")</f>
        <v>-2896.0273894359266</v>
      </c>
      <c r="F35" s="6">
        <f t="shared" si="9"/>
        <v>-22445.309386313456</v>
      </c>
      <c r="G35" s="6">
        <f t="shared" si="8"/>
        <v>-52503.693775479791</v>
      </c>
      <c r="H35" s="6">
        <f t="shared" si="3"/>
        <v>-4163.8335089885131</v>
      </c>
      <c r="I35" s="6">
        <f t="shared" si="4"/>
        <v>1477554.6906136866</v>
      </c>
      <c r="J35" s="6" t="str">
        <f>IF(B35&lt;&gt;"",IF(AND(Input!$H$54="Annual",MOD(B35,12)=0),Input!$J$54,IF(AND(Input!$H$54="1st Installment",B35=1),Input!$J$54,IF(Input!$H$54="Monthly",Input!$J$54,""))),"")</f>
        <v/>
      </c>
      <c r="K35" s="6">
        <f>IF(B35&lt;&gt;"",IF(AND(Input!$H$55="Annual",MOD(B35,12)=0),Input!$J$55,IF(AND(Input!$H$55="1st Installment",B35=1),Input!$J$55,IF(Input!$H$55="Monthly",Input!$J$55,""))),"")</f>
        <v>0</v>
      </c>
      <c r="L35" s="6" t="str">
        <f>IF(B35&lt;&gt;"",IF(AND(Input!$H$56="Annual",MOD(B35,12)=0),Input!$J$56,IF(AND(Input!$H$56="1st Installment",B35=1),Input!$J$56,IF(Input!$H$56="Monthly",Input!$J$56,""))),"")</f>
        <v/>
      </c>
      <c r="M35" s="6" t="str">
        <f>IF(B35&lt;&gt;"",IF(AND(Input!$H$57="Annual",MOD(B35,12)=0),Input!$J$57,IF(AND(Input!$H$57="1st Installment",B35=1),Input!$J$57,IF(Input!$H$57="Monthly",Input!$J$57,""))),"")</f>
        <v/>
      </c>
      <c r="N35" s="6" t="str">
        <f>IF(B35&lt;&gt;"",IF(AND(Input!$H$58="Annual",MOD(B35,12)=0),Input!$J$58,IF(AND(Input!$H$58="1st Installment",B35=1),Input!$J$58,IF(Input!$H$58="Monthly",Input!$J$58,IF(AND(Input!$H$58="End of the loan",B35=Input!$E$58),Input!$J$58,"")))),"")</f>
        <v/>
      </c>
      <c r="O35" s="6">
        <f t="shared" si="0"/>
        <v>0</v>
      </c>
      <c r="P35" s="4">
        <f t="shared" si="1"/>
        <v>4163.8335089885131</v>
      </c>
      <c r="T35" s="9">
        <f t="shared" si="2"/>
        <v>45102</v>
      </c>
      <c r="U35" s="5">
        <f t="shared" si="5"/>
        <v>4163.83</v>
      </c>
    </row>
    <row r="36" spans="2:21">
      <c r="B36" s="16">
        <f t="shared" si="6"/>
        <v>19</v>
      </c>
      <c r="C36" s="9">
        <f t="shared" si="7"/>
        <v>45132</v>
      </c>
      <c r="D36" s="6">
        <f>IFERROR((PPMT(Input!$E$55/12,B36,$C$6,Input!$E$54,-Input!$E$65,0))," ")</f>
        <v>-1270.288906536711</v>
      </c>
      <c r="E36" s="6">
        <f>IFERROR(((IPMT(Input!$E$55/12,B36,$C$6,Input!$E$54,-Input!$E$65,0)))," ")</f>
        <v>-2893.5446024518028</v>
      </c>
      <c r="F36" s="6">
        <f t="shared" si="9"/>
        <v>-23715.598292850169</v>
      </c>
      <c r="G36" s="6">
        <f t="shared" si="8"/>
        <v>-55397.238377931593</v>
      </c>
      <c r="H36" s="6">
        <f t="shared" si="3"/>
        <v>-4163.833508988514</v>
      </c>
      <c r="I36" s="6">
        <f t="shared" si="4"/>
        <v>1476284.4017071498</v>
      </c>
      <c r="J36" s="6" t="str">
        <f>IF(B36&lt;&gt;"",IF(AND(Input!$H$54="Annual",MOD(B36,12)=0),Input!$J$54,IF(AND(Input!$H$54="1st Installment",B36=1),Input!$J$54,IF(Input!$H$54="Monthly",Input!$J$54,""))),"")</f>
        <v/>
      </c>
      <c r="K36" s="6">
        <f>IF(B36&lt;&gt;"",IF(AND(Input!$H$55="Annual",MOD(B36,12)=0),Input!$J$55,IF(AND(Input!$H$55="1st Installment",B36=1),Input!$J$55,IF(Input!$H$55="Monthly",Input!$J$55,""))),"")</f>
        <v>0</v>
      </c>
      <c r="L36" s="6" t="str">
        <f>IF(B36&lt;&gt;"",IF(AND(Input!$H$56="Annual",MOD(B36,12)=0),Input!$J$56,IF(AND(Input!$H$56="1st Installment",B36=1),Input!$J$56,IF(Input!$H$56="Monthly",Input!$J$56,""))),"")</f>
        <v/>
      </c>
      <c r="M36" s="6" t="str">
        <f>IF(B36&lt;&gt;"",IF(AND(Input!$H$57="Annual",MOD(B36,12)=0),Input!$J$57,IF(AND(Input!$H$57="1st Installment",B36=1),Input!$J$57,IF(Input!$H$57="Monthly",Input!$J$57,""))),"")</f>
        <v/>
      </c>
      <c r="N36" s="6" t="str">
        <f>IF(B36&lt;&gt;"",IF(AND(Input!$H$58="Annual",MOD(B36,12)=0),Input!$J$58,IF(AND(Input!$H$58="1st Installment",B36=1),Input!$J$58,IF(Input!$H$58="Monthly",Input!$J$58,IF(AND(Input!$H$58="End of the loan",B36=Input!$E$58),Input!$J$58,"")))),"")</f>
        <v/>
      </c>
      <c r="O36" s="6">
        <f t="shared" si="0"/>
        <v>0</v>
      </c>
      <c r="P36" s="4">
        <f t="shared" si="1"/>
        <v>4163.833508988514</v>
      </c>
      <c r="T36" s="9">
        <f t="shared" si="2"/>
        <v>45132</v>
      </c>
      <c r="U36" s="5">
        <f t="shared" si="5"/>
        <v>4163.83</v>
      </c>
    </row>
    <row r="37" spans="2:21">
      <c r="B37" s="16">
        <f t="shared" si="6"/>
        <v>20</v>
      </c>
      <c r="C37" s="9">
        <f t="shared" si="7"/>
        <v>45163</v>
      </c>
      <c r="D37" s="6">
        <f>IFERROR((PPMT(Input!$E$55/12,B37,$C$6,Input!$E$54,-Input!$E$65,0))," ")</f>
        <v>-1272.7765556453453</v>
      </c>
      <c r="E37" s="6">
        <f>IFERROR(((IPMT(Input!$E$55/12,B37,$C$6,Input!$E$54,-Input!$E$65,0)))," ")</f>
        <v>-2891.0569533431685</v>
      </c>
      <c r="F37" s="6">
        <f t="shared" si="9"/>
        <v>-24988.374848495514</v>
      </c>
      <c r="G37" s="6">
        <f t="shared" si="8"/>
        <v>-58288.295331274763</v>
      </c>
      <c r="H37" s="6">
        <f t="shared" si="3"/>
        <v>-4163.833508988514</v>
      </c>
      <c r="I37" s="6">
        <f t="shared" si="4"/>
        <v>1475011.6251515045</v>
      </c>
      <c r="J37" s="6" t="str">
        <f>IF(B37&lt;&gt;"",IF(AND(Input!$H$54="Annual",MOD(B37,12)=0),Input!$J$54,IF(AND(Input!$H$54="1st Installment",B37=1),Input!$J$54,IF(Input!$H$54="Monthly",Input!$J$54,""))),"")</f>
        <v/>
      </c>
      <c r="K37" s="6">
        <f>IF(B37&lt;&gt;"",IF(AND(Input!$H$55="Annual",MOD(B37,12)=0),Input!$J$55,IF(AND(Input!$H$55="1st Installment",B37=1),Input!$J$55,IF(Input!$H$55="Monthly",Input!$J$55,""))),"")</f>
        <v>0</v>
      </c>
      <c r="L37" s="6" t="str">
        <f>IF(B37&lt;&gt;"",IF(AND(Input!$H$56="Annual",MOD(B37,12)=0),Input!$J$56,IF(AND(Input!$H$56="1st Installment",B37=1),Input!$J$56,IF(Input!$H$56="Monthly",Input!$J$56,""))),"")</f>
        <v/>
      </c>
      <c r="M37" s="6" t="str">
        <f>IF(B37&lt;&gt;"",IF(AND(Input!$H$57="Annual",MOD(B37,12)=0),Input!$J$57,IF(AND(Input!$H$57="1st Installment",B37=1),Input!$J$57,IF(Input!$H$57="Monthly",Input!$J$57,""))),"")</f>
        <v/>
      </c>
      <c r="N37" s="6" t="str">
        <f>IF(B37&lt;&gt;"",IF(AND(Input!$H$58="Annual",MOD(B37,12)=0),Input!$J$58,IF(AND(Input!$H$58="1st Installment",B37=1),Input!$J$58,IF(Input!$H$58="Monthly",Input!$J$58,IF(AND(Input!$H$58="End of the loan",B37=Input!$E$58),Input!$J$58,"")))),"")</f>
        <v/>
      </c>
      <c r="O37" s="6">
        <f t="shared" si="0"/>
        <v>0</v>
      </c>
      <c r="P37" s="4">
        <f t="shared" si="1"/>
        <v>4163.833508988514</v>
      </c>
      <c r="T37" s="9">
        <f t="shared" si="2"/>
        <v>45163</v>
      </c>
      <c r="U37" s="5">
        <f t="shared" si="5"/>
        <v>4163.83</v>
      </c>
    </row>
    <row r="38" spans="2:21">
      <c r="B38" s="16">
        <f t="shared" si="6"/>
        <v>21</v>
      </c>
      <c r="C38" s="9">
        <f t="shared" si="7"/>
        <v>45194</v>
      </c>
      <c r="D38" s="6">
        <f>IFERROR((PPMT(Input!$E$55/12,B38,$C$6,Input!$E$54,-Input!$E$65,0))," ")</f>
        <v>-1275.2690764001507</v>
      </c>
      <c r="E38" s="6">
        <f>IFERROR(((IPMT(Input!$E$55/12,B38,$C$6,Input!$E$54,-Input!$E$65,0)))," ")</f>
        <v>-2888.5644325883627</v>
      </c>
      <c r="F38" s="6">
        <f t="shared" si="9"/>
        <v>-26263.643924895663</v>
      </c>
      <c r="G38" s="6">
        <f t="shared" si="8"/>
        <v>-61176.859763863125</v>
      </c>
      <c r="H38" s="6">
        <f t="shared" si="3"/>
        <v>-4163.8335089885131</v>
      </c>
      <c r="I38" s="6">
        <f t="shared" si="4"/>
        <v>1473736.3560751043</v>
      </c>
      <c r="J38" s="6" t="str">
        <f>IF(B38&lt;&gt;"",IF(AND(Input!$H$54="Annual",MOD(B38,12)=0),Input!$J$54,IF(AND(Input!$H$54="1st Installment",B38=1),Input!$J$54,IF(Input!$H$54="Monthly",Input!$J$54,""))),"")</f>
        <v/>
      </c>
      <c r="K38" s="6">
        <f>IF(B38&lt;&gt;"",IF(AND(Input!$H$55="Annual",MOD(B38,12)=0),Input!$J$55,IF(AND(Input!$H$55="1st Installment",B38=1),Input!$J$55,IF(Input!$H$55="Monthly",Input!$J$55,""))),"")</f>
        <v>0</v>
      </c>
      <c r="L38" s="6" t="str">
        <f>IF(B38&lt;&gt;"",IF(AND(Input!$H$56="Annual",MOD(B38,12)=0),Input!$J$56,IF(AND(Input!$H$56="1st Installment",B38=1),Input!$J$56,IF(Input!$H$56="Monthly",Input!$J$56,""))),"")</f>
        <v/>
      </c>
      <c r="M38" s="6" t="str">
        <f>IF(B38&lt;&gt;"",IF(AND(Input!$H$57="Annual",MOD(B38,12)=0),Input!$J$57,IF(AND(Input!$H$57="1st Installment",B38=1),Input!$J$57,IF(Input!$H$57="Monthly",Input!$J$57,""))),"")</f>
        <v/>
      </c>
      <c r="N38" s="6" t="str">
        <f>IF(B38&lt;&gt;"",IF(AND(Input!$H$58="Annual",MOD(B38,12)=0),Input!$J$58,IF(AND(Input!$H$58="1st Installment",B38=1),Input!$J$58,IF(Input!$H$58="Monthly",Input!$J$58,IF(AND(Input!$H$58="End of the loan",B38=Input!$E$58),Input!$J$58,"")))),"")</f>
        <v/>
      </c>
      <c r="O38" s="6">
        <f t="shared" si="0"/>
        <v>0</v>
      </c>
      <c r="P38" s="4">
        <f t="shared" si="1"/>
        <v>4163.8335089885131</v>
      </c>
      <c r="T38" s="9">
        <f t="shared" si="2"/>
        <v>45194</v>
      </c>
      <c r="U38" s="5">
        <f t="shared" si="5"/>
        <v>4163.83</v>
      </c>
    </row>
    <row r="39" spans="2:21">
      <c r="B39" s="16">
        <f t="shared" si="6"/>
        <v>22</v>
      </c>
      <c r="C39" s="9">
        <f t="shared" si="7"/>
        <v>45224</v>
      </c>
      <c r="D39" s="6">
        <f>IFERROR((PPMT(Input!$E$55/12,B39,$C$6,Input!$E$54,-Input!$E$65,0))," ")</f>
        <v>-1277.7664783414343</v>
      </c>
      <c r="E39" s="6">
        <f>IFERROR(((IPMT(Input!$E$55/12,B39,$C$6,Input!$E$54,-Input!$E$65,0)))," ")</f>
        <v>-2886.0670306470793</v>
      </c>
      <c r="F39" s="6">
        <f t="shared" si="9"/>
        <v>-27541.410403237096</v>
      </c>
      <c r="G39" s="6">
        <f t="shared" si="8"/>
        <v>-64062.926794510204</v>
      </c>
      <c r="H39" s="6">
        <f t="shared" si="3"/>
        <v>-4163.8335089885131</v>
      </c>
      <c r="I39" s="6">
        <f t="shared" si="4"/>
        <v>1472458.5895967628</v>
      </c>
      <c r="J39" s="6" t="str">
        <f>IF(B39&lt;&gt;"",IF(AND(Input!$H$54="Annual",MOD(B39,12)=0),Input!$J$54,IF(AND(Input!$H$54="1st Installment",B39=1),Input!$J$54,IF(Input!$H$54="Monthly",Input!$J$54,""))),"")</f>
        <v/>
      </c>
      <c r="K39" s="6">
        <f>IF(B39&lt;&gt;"",IF(AND(Input!$H$55="Annual",MOD(B39,12)=0),Input!$J$55,IF(AND(Input!$H$55="1st Installment",B39=1),Input!$J$55,IF(Input!$H$55="Monthly",Input!$J$55,""))),"")</f>
        <v>0</v>
      </c>
      <c r="L39" s="6" t="str">
        <f>IF(B39&lt;&gt;"",IF(AND(Input!$H$56="Annual",MOD(B39,12)=0),Input!$J$56,IF(AND(Input!$H$56="1st Installment",B39=1),Input!$J$56,IF(Input!$H$56="Monthly",Input!$J$56,""))),"")</f>
        <v/>
      </c>
      <c r="M39" s="6" t="str">
        <f>IF(B39&lt;&gt;"",IF(AND(Input!$H$57="Annual",MOD(B39,12)=0),Input!$J$57,IF(AND(Input!$H$57="1st Installment",B39=1),Input!$J$57,IF(Input!$H$57="Monthly",Input!$J$57,""))),"")</f>
        <v/>
      </c>
      <c r="N39" s="6" t="str">
        <f>IF(B39&lt;&gt;"",IF(AND(Input!$H$58="Annual",MOD(B39,12)=0),Input!$J$58,IF(AND(Input!$H$58="1st Installment",B39=1),Input!$J$58,IF(Input!$H$58="Monthly",Input!$J$58,IF(AND(Input!$H$58="End of the loan",B39=Input!$E$58),Input!$J$58,"")))),"")</f>
        <v/>
      </c>
      <c r="O39" s="6">
        <f t="shared" si="0"/>
        <v>0</v>
      </c>
      <c r="P39" s="4">
        <f t="shared" si="1"/>
        <v>4163.8335089885131</v>
      </c>
      <c r="T39" s="9">
        <f t="shared" si="2"/>
        <v>45224</v>
      </c>
      <c r="U39" s="5">
        <f t="shared" si="5"/>
        <v>4163.83</v>
      </c>
    </row>
    <row r="40" spans="2:21">
      <c r="B40" s="16">
        <f t="shared" si="6"/>
        <v>23</v>
      </c>
      <c r="C40" s="9">
        <f t="shared" si="7"/>
        <v>45255</v>
      </c>
      <c r="D40" s="6">
        <f>IFERROR((PPMT(Input!$E$55/12,B40,$C$6,Input!$E$54,-Input!$E$65,0))," ")</f>
        <v>-1280.2687710281864</v>
      </c>
      <c r="E40" s="6">
        <f>IFERROR(((IPMT(Input!$E$55/12,B40,$C$6,Input!$E$54,-Input!$E$65,0)))," ")</f>
        <v>-2883.5647379603274</v>
      </c>
      <c r="F40" s="6">
        <f t="shared" si="9"/>
        <v>-28821.679174265282</v>
      </c>
      <c r="G40" s="6">
        <f t="shared" si="8"/>
        <v>-66946.491532470536</v>
      </c>
      <c r="H40" s="6">
        <f t="shared" si="3"/>
        <v>-4163.833508988514</v>
      </c>
      <c r="I40" s="6">
        <f t="shared" si="4"/>
        <v>1471178.3208257346</v>
      </c>
      <c r="J40" s="6" t="str">
        <f>IF(B40&lt;&gt;"",IF(AND(Input!$H$54="Annual",MOD(B40,12)=0),Input!$J$54,IF(AND(Input!$H$54="1st Installment",B40=1),Input!$J$54,IF(Input!$H$54="Monthly",Input!$J$54,""))),"")</f>
        <v/>
      </c>
      <c r="K40" s="6">
        <f>IF(B40&lt;&gt;"",IF(AND(Input!$H$55="Annual",MOD(B40,12)=0),Input!$J$55,IF(AND(Input!$H$55="1st Installment",B40=1),Input!$J$55,IF(Input!$H$55="Monthly",Input!$J$55,""))),"")</f>
        <v>0</v>
      </c>
      <c r="L40" s="6" t="str">
        <f>IF(B40&lt;&gt;"",IF(AND(Input!$H$56="Annual",MOD(B40,12)=0),Input!$J$56,IF(AND(Input!$H$56="1st Installment",B40=1),Input!$J$56,IF(Input!$H$56="Monthly",Input!$J$56,""))),"")</f>
        <v/>
      </c>
      <c r="M40" s="6" t="str">
        <f>IF(B40&lt;&gt;"",IF(AND(Input!$H$57="Annual",MOD(B40,12)=0),Input!$J$57,IF(AND(Input!$H$57="1st Installment",B40=1),Input!$J$57,IF(Input!$H$57="Monthly",Input!$J$57,""))),"")</f>
        <v/>
      </c>
      <c r="N40" s="6" t="str">
        <f>IF(B40&lt;&gt;"",IF(AND(Input!$H$58="Annual",MOD(B40,12)=0),Input!$J$58,IF(AND(Input!$H$58="1st Installment",B40=1),Input!$J$58,IF(Input!$H$58="Monthly",Input!$J$58,IF(AND(Input!$H$58="End of the loan",B40=Input!$E$58),Input!$J$58,"")))),"")</f>
        <v/>
      </c>
      <c r="O40" s="6">
        <f t="shared" si="0"/>
        <v>0</v>
      </c>
      <c r="P40" s="4">
        <f t="shared" si="1"/>
        <v>4163.833508988514</v>
      </c>
      <c r="T40" s="9">
        <f t="shared" si="2"/>
        <v>45255</v>
      </c>
      <c r="U40" s="5">
        <f t="shared" si="5"/>
        <v>4163.83</v>
      </c>
    </row>
    <row r="41" spans="2:21">
      <c r="B41" s="16">
        <f t="shared" si="6"/>
        <v>24</v>
      </c>
      <c r="C41" s="9">
        <f t="shared" si="7"/>
        <v>45285</v>
      </c>
      <c r="D41" s="6">
        <f>IFERROR((PPMT(Input!$E$55/12,B41,$C$6,Input!$E$54,-Input!$E$65,0))," ")</f>
        <v>-1282.7759640381164</v>
      </c>
      <c r="E41" s="6">
        <f>IFERROR(((IPMT(Input!$E$55/12,B41,$C$6,Input!$E$54,-Input!$E$65,0)))," ")</f>
        <v>-2881.0575449503972</v>
      </c>
      <c r="F41" s="6">
        <f t="shared" si="9"/>
        <v>-30104.455138303398</v>
      </c>
      <c r="G41" s="6">
        <f t="shared" si="8"/>
        <v>-69827.549077420932</v>
      </c>
      <c r="H41" s="6">
        <f t="shared" si="3"/>
        <v>-4163.8335089885131</v>
      </c>
      <c r="I41" s="6">
        <f t="shared" si="4"/>
        <v>1469895.5448616967</v>
      </c>
      <c r="J41" s="6" t="str">
        <f>IF(B41&lt;&gt;"",IF(AND(Input!$H$54="Annual",MOD(B41,12)=0),Input!$J$54,IF(AND(Input!$H$54="1st Installment",B41=1),Input!$J$54,IF(Input!$H$54="Monthly",Input!$J$54,""))),"")</f>
        <v/>
      </c>
      <c r="K41" s="6">
        <f>IF(B41&lt;&gt;"",IF(AND(Input!$H$55="Annual",MOD(B41,12)=0),Input!$J$55,IF(AND(Input!$H$55="1st Installment",B41=1),Input!$J$55,IF(Input!$H$55="Monthly",Input!$J$55,""))),"")</f>
        <v>0</v>
      </c>
      <c r="L41" s="6" t="str">
        <f>IF(B41&lt;&gt;"",IF(AND(Input!$H$56="Annual",MOD(B41,12)=0),Input!$J$56,IF(AND(Input!$H$56="1st Installment",B41=1),Input!$J$56,IF(Input!$H$56="Monthly",Input!$J$56,""))),"")</f>
        <v/>
      </c>
      <c r="M41" s="6" t="str">
        <f>IF(B41&lt;&gt;"",IF(AND(Input!$H$57="Annual",MOD(B41,12)=0),Input!$J$57,IF(AND(Input!$H$57="1st Installment",B41=1),Input!$J$57,IF(Input!$H$57="Monthly",Input!$J$57,""))),"")</f>
        <v/>
      </c>
      <c r="N41" s="6" t="str">
        <f>IF(B41&lt;&gt;"",IF(AND(Input!$H$58="Annual",MOD(B41,12)=0),Input!$J$58,IF(AND(Input!$H$58="1st Installment",B41=1),Input!$J$58,IF(Input!$H$58="Monthly",Input!$J$58,IF(AND(Input!$H$58="End of the loan",B41=Input!$E$58),Input!$J$58,"")))),"")</f>
        <v/>
      </c>
      <c r="O41" s="6">
        <f t="shared" si="0"/>
        <v>0</v>
      </c>
      <c r="P41" s="4">
        <f t="shared" si="1"/>
        <v>4163.8335089885131</v>
      </c>
      <c r="T41" s="9">
        <f t="shared" si="2"/>
        <v>45285</v>
      </c>
      <c r="U41" s="5">
        <f t="shared" si="5"/>
        <v>4163.83</v>
      </c>
    </row>
    <row r="42" spans="2:21">
      <c r="B42" s="16">
        <f t="shared" si="6"/>
        <v>25</v>
      </c>
      <c r="C42" s="9">
        <f t="shared" si="7"/>
        <v>45316</v>
      </c>
      <c r="D42" s="6">
        <f>IFERROR((PPMT(Input!$E$55/12,B42,$C$6,Input!$E$54,-Input!$E$65,0))," ")</f>
        <v>-1285.2880669676911</v>
      </c>
      <c r="E42" s="6">
        <f>IFERROR(((IPMT(Input!$E$55/12,B42,$C$6,Input!$E$54,-Input!$E$65,0)))," ")</f>
        <v>-2878.5454420208225</v>
      </c>
      <c r="F42" s="6">
        <f t="shared" si="9"/>
        <v>-31389.74320527109</v>
      </c>
      <c r="G42" s="6">
        <f t="shared" si="8"/>
        <v>-72706.094519441758</v>
      </c>
      <c r="H42" s="6">
        <f t="shared" si="3"/>
        <v>-4163.8335089885131</v>
      </c>
      <c r="I42" s="6">
        <f t="shared" si="4"/>
        <v>1468610.2567947288</v>
      </c>
      <c r="J42" s="6" t="str">
        <f>IF(B42&lt;&gt;"",IF(AND(Input!$H$54="Annual",MOD(B42,12)=0),Input!$J$54,IF(AND(Input!$H$54="1st Installment",B42=1),Input!$J$54,IF(Input!$H$54="Monthly",Input!$J$54,""))),"")</f>
        <v/>
      </c>
      <c r="K42" s="6">
        <f>IF(B42&lt;&gt;"",IF(AND(Input!$H$55="Annual",MOD(B42,12)=0),Input!$J$55,IF(AND(Input!$H$55="1st Installment",B42=1),Input!$J$55,IF(Input!$H$55="Monthly",Input!$J$55,""))),"")</f>
        <v>0</v>
      </c>
      <c r="L42" s="6" t="str">
        <f>IF(B42&lt;&gt;"",IF(AND(Input!$H$56="Annual",MOD(B42,12)=0),Input!$J$56,IF(AND(Input!$H$56="1st Installment",B42=1),Input!$J$56,IF(Input!$H$56="Monthly",Input!$J$56,""))),"")</f>
        <v/>
      </c>
      <c r="M42" s="6" t="str">
        <f>IF(B42&lt;&gt;"",IF(AND(Input!$H$57="Annual",MOD(B42,12)=0),Input!$J$57,IF(AND(Input!$H$57="1st Installment",B42=1),Input!$J$57,IF(Input!$H$57="Monthly",Input!$J$57,""))),"")</f>
        <v/>
      </c>
      <c r="N42" s="6" t="str">
        <f>IF(B42&lt;&gt;"",IF(AND(Input!$H$58="Annual",MOD(B42,12)=0),Input!$J$58,IF(AND(Input!$H$58="1st Installment",B42=1),Input!$J$58,IF(Input!$H$58="Monthly",Input!$J$58,IF(AND(Input!$H$58="End of the loan",B42=Input!$E$58),Input!$J$58,"")))),"")</f>
        <v/>
      </c>
      <c r="O42" s="6">
        <f t="shared" si="0"/>
        <v>0</v>
      </c>
      <c r="P42" s="4">
        <f t="shared" si="1"/>
        <v>4163.8335089885131</v>
      </c>
      <c r="T42" s="9">
        <f t="shared" si="2"/>
        <v>45316</v>
      </c>
      <c r="U42" s="5">
        <f t="shared" si="5"/>
        <v>4163.83</v>
      </c>
    </row>
    <row r="43" spans="2:21">
      <c r="B43" s="16">
        <f t="shared" si="6"/>
        <v>26</v>
      </c>
      <c r="C43" s="9">
        <f t="shared" si="7"/>
        <v>45347</v>
      </c>
      <c r="D43" s="6">
        <f>IFERROR((PPMT(Input!$E$55/12,B43,$C$6,Input!$E$54,-Input!$E$65,0))," ")</f>
        <v>-1287.8050894321698</v>
      </c>
      <c r="E43" s="6">
        <f>IFERROR(((IPMT(Input!$E$55/12,B43,$C$6,Input!$E$54,-Input!$E$65,0)))," ")</f>
        <v>-2876.028419556344</v>
      </c>
      <c r="F43" s="6">
        <f t="shared" si="9"/>
        <v>-32677.548294703261</v>
      </c>
      <c r="G43" s="6">
        <f t="shared" si="8"/>
        <v>-75582.122938998102</v>
      </c>
      <c r="H43" s="6">
        <f t="shared" si="3"/>
        <v>-4163.833508988514</v>
      </c>
      <c r="I43" s="6">
        <f t="shared" si="4"/>
        <v>1467322.4517052968</v>
      </c>
      <c r="J43" s="6" t="str">
        <f>IF(B43&lt;&gt;"",IF(AND(Input!$H$54="Annual",MOD(B43,12)=0),Input!$J$54,IF(AND(Input!$H$54="1st Installment",B43=1),Input!$J$54,IF(Input!$H$54="Monthly",Input!$J$54,""))),"")</f>
        <v/>
      </c>
      <c r="K43" s="6">
        <f>IF(B43&lt;&gt;"",IF(AND(Input!$H$55="Annual",MOD(B43,12)=0),Input!$J$55,IF(AND(Input!$H$55="1st Installment",B43=1),Input!$J$55,IF(Input!$H$55="Monthly",Input!$J$55,""))),"")</f>
        <v>0</v>
      </c>
      <c r="L43" s="6" t="str">
        <f>IF(B43&lt;&gt;"",IF(AND(Input!$H$56="Annual",MOD(B43,12)=0),Input!$J$56,IF(AND(Input!$H$56="1st Installment",B43=1),Input!$J$56,IF(Input!$H$56="Monthly",Input!$J$56,""))),"")</f>
        <v/>
      </c>
      <c r="M43" s="6" t="str">
        <f>IF(B43&lt;&gt;"",IF(AND(Input!$H$57="Annual",MOD(B43,12)=0),Input!$J$57,IF(AND(Input!$H$57="1st Installment",B43=1),Input!$J$57,IF(Input!$H$57="Monthly",Input!$J$57,""))),"")</f>
        <v/>
      </c>
      <c r="N43" s="6" t="str">
        <f>IF(B43&lt;&gt;"",IF(AND(Input!$H$58="Annual",MOD(B43,12)=0),Input!$J$58,IF(AND(Input!$H$58="1st Installment",B43=1),Input!$J$58,IF(Input!$H$58="Monthly",Input!$J$58,IF(AND(Input!$H$58="End of the loan",B43=Input!$E$58),Input!$J$58,"")))),"")</f>
        <v/>
      </c>
      <c r="O43" s="6">
        <f t="shared" si="0"/>
        <v>0</v>
      </c>
      <c r="P43" s="4">
        <f t="shared" si="1"/>
        <v>4163.833508988514</v>
      </c>
      <c r="T43" s="9">
        <f t="shared" si="2"/>
        <v>45347</v>
      </c>
      <c r="U43" s="5">
        <f t="shared" si="5"/>
        <v>4163.83</v>
      </c>
    </row>
    <row r="44" spans="2:21">
      <c r="B44" s="16">
        <f t="shared" si="6"/>
        <v>27</v>
      </c>
      <c r="C44" s="9">
        <f t="shared" si="7"/>
        <v>45376</v>
      </c>
      <c r="D44" s="6">
        <f>IFERROR((PPMT(Input!$E$55/12,B44,$C$6,Input!$E$54,-Input!$E$65,0))," ")</f>
        <v>-1290.3270410656407</v>
      </c>
      <c r="E44" s="6">
        <f>IFERROR(((IPMT(Input!$E$55/12,B44,$C$6,Input!$E$54,-Input!$E$65,0)))," ")</f>
        <v>-2873.5064679228726</v>
      </c>
      <c r="F44" s="6">
        <f t="shared" si="9"/>
        <v>-33967.875335768906</v>
      </c>
      <c r="G44" s="6">
        <f t="shared" si="8"/>
        <v>-78455.629406920969</v>
      </c>
      <c r="H44" s="6">
        <f t="shared" si="3"/>
        <v>-4163.8335089885131</v>
      </c>
      <c r="I44" s="6">
        <f t="shared" si="4"/>
        <v>1466032.1246642312</v>
      </c>
      <c r="J44" s="6" t="str">
        <f>IF(B44&lt;&gt;"",IF(AND(Input!$H$54="Annual",MOD(B44,12)=0),Input!$J$54,IF(AND(Input!$H$54="1st Installment",B44=1),Input!$J$54,IF(Input!$H$54="Monthly",Input!$J$54,""))),"")</f>
        <v/>
      </c>
      <c r="K44" s="6">
        <f>IF(B44&lt;&gt;"",IF(AND(Input!$H$55="Annual",MOD(B44,12)=0),Input!$J$55,IF(AND(Input!$H$55="1st Installment",B44=1),Input!$J$55,IF(Input!$H$55="Monthly",Input!$J$55,""))),"")</f>
        <v>0</v>
      </c>
      <c r="L44" s="6" t="str">
        <f>IF(B44&lt;&gt;"",IF(AND(Input!$H$56="Annual",MOD(B44,12)=0),Input!$J$56,IF(AND(Input!$H$56="1st Installment",B44=1),Input!$J$56,IF(Input!$H$56="Monthly",Input!$J$56,""))),"")</f>
        <v/>
      </c>
      <c r="M44" s="6" t="str">
        <f>IF(B44&lt;&gt;"",IF(AND(Input!$H$57="Annual",MOD(B44,12)=0),Input!$J$57,IF(AND(Input!$H$57="1st Installment",B44=1),Input!$J$57,IF(Input!$H$57="Monthly",Input!$J$57,""))),"")</f>
        <v/>
      </c>
      <c r="N44" s="6" t="str">
        <f>IF(B44&lt;&gt;"",IF(AND(Input!$H$58="Annual",MOD(B44,12)=0),Input!$J$58,IF(AND(Input!$H$58="1st Installment",B44=1),Input!$J$58,IF(Input!$H$58="Monthly",Input!$J$58,IF(AND(Input!$H$58="End of the loan",B44=Input!$E$58),Input!$J$58,"")))),"")</f>
        <v/>
      </c>
      <c r="O44" s="6">
        <f t="shared" si="0"/>
        <v>0</v>
      </c>
      <c r="P44" s="4">
        <f t="shared" si="1"/>
        <v>4163.8335089885131</v>
      </c>
      <c r="T44" s="9">
        <f t="shared" si="2"/>
        <v>45376</v>
      </c>
      <c r="U44" s="5">
        <f t="shared" si="5"/>
        <v>4163.83</v>
      </c>
    </row>
    <row r="45" spans="2:21">
      <c r="B45" s="16">
        <f t="shared" si="6"/>
        <v>28</v>
      </c>
      <c r="C45" s="9">
        <f t="shared" si="7"/>
        <v>45407</v>
      </c>
      <c r="D45" s="6">
        <f>IFERROR((PPMT(Input!$E$55/12,B45,$C$6,Input!$E$54,-Input!$E$65,0))," ")</f>
        <v>-1292.8539315210612</v>
      </c>
      <c r="E45" s="6">
        <f>IFERROR(((IPMT(Input!$E$55/12,B45,$C$6,Input!$E$54,-Input!$E$65,0)))," ")</f>
        <v>-2870.9795774674526</v>
      </c>
      <c r="F45" s="6">
        <f t="shared" si="9"/>
        <v>-35260.729267289964</v>
      </c>
      <c r="G45" s="6">
        <f t="shared" si="8"/>
        <v>-81326.608984388426</v>
      </c>
      <c r="H45" s="6">
        <f t="shared" si="3"/>
        <v>-4163.833508988514</v>
      </c>
      <c r="I45" s="6">
        <f t="shared" si="4"/>
        <v>1464739.2707327101</v>
      </c>
      <c r="J45" s="6" t="str">
        <f>IF(B45&lt;&gt;"",IF(AND(Input!$H$54="Annual",MOD(B45,12)=0),Input!$J$54,IF(AND(Input!$H$54="1st Installment",B45=1),Input!$J$54,IF(Input!$H$54="Monthly",Input!$J$54,""))),"")</f>
        <v/>
      </c>
      <c r="K45" s="6">
        <f>IF(B45&lt;&gt;"",IF(AND(Input!$H$55="Annual",MOD(B45,12)=0),Input!$J$55,IF(AND(Input!$H$55="1st Installment",B45=1),Input!$J$55,IF(Input!$H$55="Monthly",Input!$J$55,""))),"")</f>
        <v>0</v>
      </c>
      <c r="L45" s="6" t="str">
        <f>IF(B45&lt;&gt;"",IF(AND(Input!$H$56="Annual",MOD(B45,12)=0),Input!$J$56,IF(AND(Input!$H$56="1st Installment",B45=1),Input!$J$56,IF(Input!$H$56="Monthly",Input!$J$56,""))),"")</f>
        <v/>
      </c>
      <c r="M45" s="6" t="str">
        <f>IF(B45&lt;&gt;"",IF(AND(Input!$H$57="Annual",MOD(B45,12)=0),Input!$J$57,IF(AND(Input!$H$57="1st Installment",B45=1),Input!$J$57,IF(Input!$H$57="Monthly",Input!$J$57,""))),"")</f>
        <v/>
      </c>
      <c r="N45" s="6" t="str">
        <f>IF(B45&lt;&gt;"",IF(AND(Input!$H$58="Annual",MOD(B45,12)=0),Input!$J$58,IF(AND(Input!$H$58="1st Installment",B45=1),Input!$J$58,IF(Input!$H$58="Monthly",Input!$J$58,IF(AND(Input!$H$58="End of the loan",B45=Input!$E$58),Input!$J$58,"")))),"")</f>
        <v/>
      </c>
      <c r="O45" s="6">
        <f t="shared" si="0"/>
        <v>0</v>
      </c>
      <c r="P45" s="4">
        <f t="shared" si="1"/>
        <v>4163.833508988514</v>
      </c>
      <c r="T45" s="9">
        <f t="shared" si="2"/>
        <v>45407</v>
      </c>
      <c r="U45" s="5">
        <f t="shared" si="5"/>
        <v>4163.83</v>
      </c>
    </row>
    <row r="46" spans="2:21">
      <c r="B46" s="16">
        <f t="shared" si="6"/>
        <v>29</v>
      </c>
      <c r="C46" s="9">
        <f t="shared" si="7"/>
        <v>45437</v>
      </c>
      <c r="D46" s="6">
        <f>IFERROR((PPMT(Input!$E$55/12,B46,$C$6,Input!$E$54,-Input!$E$65,0))," ")</f>
        <v>-1295.3857704702898</v>
      </c>
      <c r="E46" s="6">
        <f>IFERROR(((IPMT(Input!$E$55/12,B46,$C$6,Input!$E$54,-Input!$E$65,0)))," ")</f>
        <v>-2868.447738518224</v>
      </c>
      <c r="F46" s="6">
        <f t="shared" si="9"/>
        <v>-36556.115037760253</v>
      </c>
      <c r="G46" s="6">
        <f t="shared" si="8"/>
        <v>-84195.056722906651</v>
      </c>
      <c r="H46" s="6">
        <f t="shared" si="3"/>
        <v>-4163.833508988514</v>
      </c>
      <c r="I46" s="6">
        <f t="shared" si="4"/>
        <v>1463443.8849622398</v>
      </c>
      <c r="J46" s="6" t="str">
        <f>IF(B46&lt;&gt;"",IF(AND(Input!$H$54="Annual",MOD(B46,12)=0),Input!$J$54,IF(AND(Input!$H$54="1st Installment",B46=1),Input!$J$54,IF(Input!$H$54="Monthly",Input!$J$54,""))),"")</f>
        <v/>
      </c>
      <c r="K46" s="6">
        <f>IF(B46&lt;&gt;"",IF(AND(Input!$H$55="Annual",MOD(B46,12)=0),Input!$J$55,IF(AND(Input!$H$55="1st Installment",B46=1),Input!$J$55,IF(Input!$H$55="Monthly",Input!$J$55,""))),"")</f>
        <v>0</v>
      </c>
      <c r="L46" s="6" t="str">
        <f>IF(B46&lt;&gt;"",IF(AND(Input!$H$56="Annual",MOD(B46,12)=0),Input!$J$56,IF(AND(Input!$H$56="1st Installment",B46=1),Input!$J$56,IF(Input!$H$56="Monthly",Input!$J$56,""))),"")</f>
        <v/>
      </c>
      <c r="M46" s="6" t="str">
        <f>IF(B46&lt;&gt;"",IF(AND(Input!$H$57="Annual",MOD(B46,12)=0),Input!$J$57,IF(AND(Input!$H$57="1st Installment",B46=1),Input!$J$57,IF(Input!$H$57="Monthly",Input!$J$57,""))),"")</f>
        <v/>
      </c>
      <c r="N46" s="6" t="str">
        <f>IF(B46&lt;&gt;"",IF(AND(Input!$H$58="Annual",MOD(B46,12)=0),Input!$J$58,IF(AND(Input!$H$58="1st Installment",B46=1),Input!$J$58,IF(Input!$H$58="Monthly",Input!$J$58,IF(AND(Input!$H$58="End of the loan",B46=Input!$E$58),Input!$J$58,"")))),"")</f>
        <v/>
      </c>
      <c r="O46" s="6">
        <f t="shared" si="0"/>
        <v>0</v>
      </c>
      <c r="P46" s="4">
        <f t="shared" si="1"/>
        <v>4163.833508988514</v>
      </c>
      <c r="T46" s="9">
        <f t="shared" si="2"/>
        <v>45437</v>
      </c>
      <c r="U46" s="5">
        <f t="shared" si="5"/>
        <v>4163.83</v>
      </c>
    </row>
    <row r="47" spans="2:21">
      <c r="B47" s="16">
        <f t="shared" si="6"/>
        <v>30</v>
      </c>
      <c r="C47" s="9">
        <f t="shared" si="7"/>
        <v>45468</v>
      </c>
      <c r="D47" s="6">
        <f>IFERROR((PPMT(Input!$E$55/12,B47,$C$6,Input!$E$54,-Input!$E$65,0))," ")</f>
        <v>-1297.9225676041274</v>
      </c>
      <c r="E47" s="6">
        <f>IFERROR(((IPMT(Input!$E$55/12,B47,$C$6,Input!$E$54,-Input!$E$65,0)))," ")</f>
        <v>-2865.9109413843862</v>
      </c>
      <c r="F47" s="6">
        <f t="shared" si="9"/>
        <v>-37854.037605364378</v>
      </c>
      <c r="G47" s="6">
        <f t="shared" si="8"/>
        <v>-87060.967664291034</v>
      </c>
      <c r="H47" s="6">
        <f t="shared" si="3"/>
        <v>-4163.8335089885131</v>
      </c>
      <c r="I47" s="6">
        <f t="shared" si="4"/>
        <v>1462145.9623946357</v>
      </c>
      <c r="J47" s="6" t="str">
        <f>IF(B47&lt;&gt;"",IF(AND(Input!$H$54="Annual",MOD(B47,12)=0),Input!$J$54,IF(AND(Input!$H$54="1st Installment",B47=1),Input!$J$54,IF(Input!$H$54="Monthly",Input!$J$54,""))),"")</f>
        <v/>
      </c>
      <c r="K47" s="6">
        <f>IF(B47&lt;&gt;"",IF(AND(Input!$H$55="Annual",MOD(B47,12)=0),Input!$J$55,IF(AND(Input!$H$55="1st Installment",B47=1),Input!$J$55,IF(Input!$H$55="Monthly",Input!$J$55,""))),"")</f>
        <v>0</v>
      </c>
      <c r="L47" s="6" t="str">
        <f>IF(B47&lt;&gt;"",IF(AND(Input!$H$56="Annual",MOD(B47,12)=0),Input!$J$56,IF(AND(Input!$H$56="1st Installment",B47=1),Input!$J$56,IF(Input!$H$56="Monthly",Input!$J$56,""))),"")</f>
        <v/>
      </c>
      <c r="M47" s="6" t="str">
        <f>IF(B47&lt;&gt;"",IF(AND(Input!$H$57="Annual",MOD(B47,12)=0),Input!$J$57,IF(AND(Input!$H$57="1st Installment",B47=1),Input!$J$57,IF(Input!$H$57="Monthly",Input!$J$57,""))),"")</f>
        <v/>
      </c>
      <c r="N47" s="6" t="str">
        <f>IF(B47&lt;&gt;"",IF(AND(Input!$H$58="Annual",MOD(B47,12)=0),Input!$J$58,IF(AND(Input!$H$58="1st Installment",B47=1),Input!$J$58,IF(Input!$H$58="Monthly",Input!$J$58,IF(AND(Input!$H$58="End of the loan",B47=Input!$E$58),Input!$J$58,"")))),"")</f>
        <v/>
      </c>
      <c r="O47" s="6">
        <f t="shared" si="0"/>
        <v>0</v>
      </c>
      <c r="P47" s="4">
        <f t="shared" si="1"/>
        <v>4163.8335089885131</v>
      </c>
      <c r="T47" s="9">
        <f t="shared" si="2"/>
        <v>45468</v>
      </c>
      <c r="U47" s="5">
        <f t="shared" si="5"/>
        <v>4163.83</v>
      </c>
    </row>
    <row r="48" spans="2:21">
      <c r="B48" s="16">
        <f t="shared" si="6"/>
        <v>31</v>
      </c>
      <c r="C48" s="9">
        <f t="shared" si="7"/>
        <v>45498</v>
      </c>
      <c r="D48" s="6">
        <f>IFERROR((PPMT(Input!$E$55/12,B48,$C$6,Input!$E$54,-Input!$E$65,0))," ")</f>
        <v>-1300.4643326323524</v>
      </c>
      <c r="E48" s="6">
        <f>IFERROR(((IPMT(Input!$E$55/12,B48,$C$6,Input!$E$54,-Input!$E$65,0)))," ")</f>
        <v>-2863.3691763561615</v>
      </c>
      <c r="F48" s="6">
        <f t="shared" si="9"/>
        <v>-39154.501937996727</v>
      </c>
      <c r="G48" s="6">
        <f t="shared" si="8"/>
        <v>-89924.3368406472</v>
      </c>
      <c r="H48" s="6">
        <f t="shared" si="3"/>
        <v>-4163.833508988514</v>
      </c>
      <c r="I48" s="6">
        <f t="shared" si="4"/>
        <v>1460845.4980620032</v>
      </c>
      <c r="J48" s="6" t="str">
        <f>IF(B48&lt;&gt;"",IF(AND(Input!$H$54="Annual",MOD(B48,12)=0),Input!$J$54,IF(AND(Input!$H$54="1st Installment",B48=1),Input!$J$54,IF(Input!$H$54="Monthly",Input!$J$54,""))),"")</f>
        <v/>
      </c>
      <c r="K48" s="6">
        <f>IF(B48&lt;&gt;"",IF(AND(Input!$H$55="Annual",MOD(B48,12)=0),Input!$J$55,IF(AND(Input!$H$55="1st Installment",B48=1),Input!$J$55,IF(Input!$H$55="Monthly",Input!$J$55,""))),"")</f>
        <v>0</v>
      </c>
      <c r="L48" s="6" t="str">
        <f>IF(B48&lt;&gt;"",IF(AND(Input!$H$56="Annual",MOD(B48,12)=0),Input!$J$56,IF(AND(Input!$H$56="1st Installment",B48=1),Input!$J$56,IF(Input!$H$56="Monthly",Input!$J$56,""))),"")</f>
        <v/>
      </c>
      <c r="M48" s="6" t="str">
        <f>IF(B48&lt;&gt;"",IF(AND(Input!$H$57="Annual",MOD(B48,12)=0),Input!$J$57,IF(AND(Input!$H$57="1st Installment",B48=1),Input!$J$57,IF(Input!$H$57="Monthly",Input!$J$57,""))),"")</f>
        <v/>
      </c>
      <c r="N48" s="6" t="str">
        <f>IF(B48&lt;&gt;"",IF(AND(Input!$H$58="Annual",MOD(B48,12)=0),Input!$J$58,IF(AND(Input!$H$58="1st Installment",B48=1),Input!$J$58,IF(Input!$H$58="Monthly",Input!$J$58,IF(AND(Input!$H$58="End of the loan",B48=Input!$E$58),Input!$J$58,"")))),"")</f>
        <v/>
      </c>
      <c r="O48" s="6">
        <f t="shared" si="0"/>
        <v>0</v>
      </c>
      <c r="P48" s="4">
        <f t="shared" si="1"/>
        <v>4163.833508988514</v>
      </c>
      <c r="T48" s="9">
        <f t="shared" si="2"/>
        <v>45498</v>
      </c>
      <c r="U48" s="5">
        <f t="shared" si="5"/>
        <v>4163.83</v>
      </c>
    </row>
    <row r="49" spans="2:21">
      <c r="B49" s="16">
        <f t="shared" si="6"/>
        <v>32</v>
      </c>
      <c r="C49" s="9">
        <f t="shared" si="7"/>
        <v>45529</v>
      </c>
      <c r="D49" s="6">
        <f>IFERROR((PPMT(Input!$E$55/12,B49,$C$6,Input!$E$54,-Input!$E$65,0))," ")</f>
        <v>-1303.0110752837572</v>
      </c>
      <c r="E49" s="6">
        <f>IFERROR(((IPMT(Input!$E$55/12,B49,$C$6,Input!$E$54,-Input!$E$65,0)))," ")</f>
        <v>-2860.8224337047563</v>
      </c>
      <c r="F49" s="6">
        <f t="shared" si="9"/>
        <v>-40457.513013280484</v>
      </c>
      <c r="G49" s="6">
        <f t="shared" si="8"/>
        <v>-92785.159274351958</v>
      </c>
      <c r="H49" s="6">
        <f t="shared" si="3"/>
        <v>-4163.8335089885131</v>
      </c>
      <c r="I49" s="6">
        <f t="shared" si="4"/>
        <v>1459542.4869867195</v>
      </c>
      <c r="J49" s="6" t="str">
        <f>IF(B49&lt;&gt;"",IF(AND(Input!$H$54="Annual",MOD(B49,12)=0),Input!$J$54,IF(AND(Input!$H$54="1st Installment",B49=1),Input!$J$54,IF(Input!$H$54="Monthly",Input!$J$54,""))),"")</f>
        <v/>
      </c>
      <c r="K49" s="6">
        <f>IF(B49&lt;&gt;"",IF(AND(Input!$H$55="Annual",MOD(B49,12)=0),Input!$J$55,IF(AND(Input!$H$55="1st Installment",B49=1),Input!$J$55,IF(Input!$H$55="Monthly",Input!$J$55,""))),"")</f>
        <v>0</v>
      </c>
      <c r="L49" s="6" t="str">
        <f>IF(B49&lt;&gt;"",IF(AND(Input!$H$56="Annual",MOD(B49,12)=0),Input!$J$56,IF(AND(Input!$H$56="1st Installment",B49=1),Input!$J$56,IF(Input!$H$56="Monthly",Input!$J$56,""))),"")</f>
        <v/>
      </c>
      <c r="M49" s="6" t="str">
        <f>IF(B49&lt;&gt;"",IF(AND(Input!$H$57="Annual",MOD(B49,12)=0),Input!$J$57,IF(AND(Input!$H$57="1st Installment",B49=1),Input!$J$57,IF(Input!$H$57="Monthly",Input!$J$57,""))),"")</f>
        <v/>
      </c>
      <c r="N49" s="6" t="str">
        <f>IF(B49&lt;&gt;"",IF(AND(Input!$H$58="Annual",MOD(B49,12)=0),Input!$J$58,IF(AND(Input!$H$58="1st Installment",B49=1),Input!$J$58,IF(Input!$H$58="Monthly",Input!$J$58,IF(AND(Input!$H$58="End of the loan",B49=Input!$E$58),Input!$J$58,"")))),"")</f>
        <v/>
      </c>
      <c r="O49" s="6">
        <f t="shared" si="0"/>
        <v>0</v>
      </c>
      <c r="P49" s="4">
        <f t="shared" si="1"/>
        <v>4163.8335089885131</v>
      </c>
      <c r="T49" s="9">
        <f t="shared" si="2"/>
        <v>45529</v>
      </c>
      <c r="U49" s="5">
        <f t="shared" si="5"/>
        <v>4163.83</v>
      </c>
    </row>
    <row r="50" spans="2:21">
      <c r="B50" s="16">
        <f t="shared" si="6"/>
        <v>33</v>
      </c>
      <c r="C50" s="9">
        <f t="shared" si="7"/>
        <v>45560</v>
      </c>
      <c r="D50" s="6">
        <f>IFERROR((PPMT(Input!$E$55/12,B50,$C$6,Input!$E$54,-Input!$E$65,0))," ")</f>
        <v>-1305.562805306188</v>
      </c>
      <c r="E50" s="6">
        <f>IFERROR(((IPMT(Input!$E$55/12,B50,$C$6,Input!$E$54,-Input!$E$65,0)))," ")</f>
        <v>-2858.2707036823253</v>
      </c>
      <c r="F50" s="6">
        <f t="shared" si="9"/>
        <v>-41763.075818586673</v>
      </c>
      <c r="G50" s="6">
        <f t="shared" si="8"/>
        <v>-95643.429978034284</v>
      </c>
      <c r="H50" s="6">
        <f t="shared" si="3"/>
        <v>-4163.8335089885131</v>
      </c>
      <c r="I50" s="6">
        <f t="shared" si="4"/>
        <v>1458236.9241814134</v>
      </c>
      <c r="J50" s="6" t="str">
        <f>IF(B50&lt;&gt;"",IF(AND(Input!$H$54="Annual",MOD(B50,12)=0),Input!$J$54,IF(AND(Input!$H$54="1st Installment",B50=1),Input!$J$54,IF(Input!$H$54="Monthly",Input!$J$54,""))),"")</f>
        <v/>
      </c>
      <c r="K50" s="6">
        <f>IF(B50&lt;&gt;"",IF(AND(Input!$H$55="Annual",MOD(B50,12)=0),Input!$J$55,IF(AND(Input!$H$55="1st Installment",B50=1),Input!$J$55,IF(Input!$H$55="Monthly",Input!$J$55,""))),"")</f>
        <v>0</v>
      </c>
      <c r="L50" s="6" t="str">
        <f>IF(B50&lt;&gt;"",IF(AND(Input!$H$56="Annual",MOD(B50,12)=0),Input!$J$56,IF(AND(Input!$H$56="1st Installment",B50=1),Input!$J$56,IF(Input!$H$56="Monthly",Input!$J$56,""))),"")</f>
        <v/>
      </c>
      <c r="M50" s="6" t="str">
        <f>IF(B50&lt;&gt;"",IF(AND(Input!$H$57="Annual",MOD(B50,12)=0),Input!$J$57,IF(AND(Input!$H$57="1st Installment",B50=1),Input!$J$57,IF(Input!$H$57="Monthly",Input!$J$57,""))),"")</f>
        <v/>
      </c>
      <c r="N50" s="6" t="str">
        <f>IF(B50&lt;&gt;"",IF(AND(Input!$H$58="Annual",MOD(B50,12)=0),Input!$J$58,IF(AND(Input!$H$58="1st Installment",B50=1),Input!$J$58,IF(Input!$H$58="Monthly",Input!$J$58,IF(AND(Input!$H$58="End of the loan",B50=Input!$E$58),Input!$J$58,"")))),"")</f>
        <v/>
      </c>
      <c r="O50" s="6">
        <f t="shared" si="0"/>
        <v>0</v>
      </c>
      <c r="P50" s="4">
        <f t="shared" si="1"/>
        <v>4163.8335089885131</v>
      </c>
      <c r="T50" s="9">
        <f t="shared" si="2"/>
        <v>45560</v>
      </c>
      <c r="U50" s="5">
        <f t="shared" si="5"/>
        <v>4163.83</v>
      </c>
    </row>
    <row r="51" spans="2:21">
      <c r="B51" s="16">
        <f t="shared" si="6"/>
        <v>34</v>
      </c>
      <c r="C51" s="9">
        <f t="shared" si="7"/>
        <v>45590</v>
      </c>
      <c r="D51" s="6">
        <f>IFERROR((PPMT(Input!$E$55/12,B51,$C$6,Input!$E$54,-Input!$E$65,0))," ")</f>
        <v>-1308.1195324665791</v>
      </c>
      <c r="E51" s="6">
        <f>IFERROR(((IPMT(Input!$E$55/12,B51,$C$6,Input!$E$54,-Input!$E$65,0)))," ")</f>
        <v>-2855.7139765219345</v>
      </c>
      <c r="F51" s="6">
        <f t="shared" si="9"/>
        <v>-43071.195351053255</v>
      </c>
      <c r="G51" s="6">
        <f t="shared" si="8"/>
        <v>-98499.143954556217</v>
      </c>
      <c r="H51" s="6">
        <f t="shared" si="3"/>
        <v>-4163.8335089885131</v>
      </c>
      <c r="I51" s="6">
        <f t="shared" si="4"/>
        <v>1456928.8046489467</v>
      </c>
      <c r="J51" s="6" t="str">
        <f>IF(B51&lt;&gt;"",IF(AND(Input!$H$54="Annual",MOD(B51,12)=0),Input!$J$54,IF(AND(Input!$H$54="1st Installment",B51=1),Input!$J$54,IF(Input!$H$54="Monthly",Input!$J$54,""))),"")</f>
        <v/>
      </c>
      <c r="K51" s="6">
        <f>IF(B51&lt;&gt;"",IF(AND(Input!$H$55="Annual",MOD(B51,12)=0),Input!$J$55,IF(AND(Input!$H$55="1st Installment",B51=1),Input!$J$55,IF(Input!$H$55="Monthly",Input!$J$55,""))),"")</f>
        <v>0</v>
      </c>
      <c r="L51" s="6" t="str">
        <f>IF(B51&lt;&gt;"",IF(AND(Input!$H$56="Annual",MOD(B51,12)=0),Input!$J$56,IF(AND(Input!$H$56="1st Installment",B51=1),Input!$J$56,IF(Input!$H$56="Monthly",Input!$J$56,""))),"")</f>
        <v/>
      </c>
      <c r="M51" s="6" t="str">
        <f>IF(B51&lt;&gt;"",IF(AND(Input!$H$57="Annual",MOD(B51,12)=0),Input!$J$57,IF(AND(Input!$H$57="1st Installment",B51=1),Input!$J$57,IF(Input!$H$57="Monthly",Input!$J$57,""))),"")</f>
        <v/>
      </c>
      <c r="N51" s="6" t="str">
        <f>IF(B51&lt;&gt;"",IF(AND(Input!$H$58="Annual",MOD(B51,12)=0),Input!$J$58,IF(AND(Input!$H$58="1st Installment",B51=1),Input!$J$58,IF(Input!$H$58="Monthly",Input!$J$58,IF(AND(Input!$H$58="End of the loan",B51=Input!$E$58),Input!$J$58,"")))),"")</f>
        <v/>
      </c>
      <c r="O51" s="6">
        <f t="shared" si="0"/>
        <v>0</v>
      </c>
      <c r="P51" s="4">
        <f t="shared" si="1"/>
        <v>4163.8335089885131</v>
      </c>
      <c r="T51" s="9">
        <f t="shared" si="2"/>
        <v>45590</v>
      </c>
      <c r="U51" s="5">
        <f t="shared" si="5"/>
        <v>4163.83</v>
      </c>
    </row>
    <row r="52" spans="2:21">
      <c r="B52" s="16">
        <f t="shared" si="6"/>
        <v>35</v>
      </c>
      <c r="C52" s="9">
        <f t="shared" si="7"/>
        <v>45621</v>
      </c>
      <c r="D52" s="6">
        <f>IFERROR((PPMT(Input!$E$55/12,B52,$C$6,Input!$E$54,-Input!$E$65,0))," ")</f>
        <v>-1310.6812665509929</v>
      </c>
      <c r="E52" s="6">
        <f>IFERROR(((IPMT(Input!$E$55/12,B52,$C$6,Input!$E$54,-Input!$E$65,0)))," ")</f>
        <v>-2853.1522424375203</v>
      </c>
      <c r="F52" s="6">
        <f t="shared" si="9"/>
        <v>-44381.876617604248</v>
      </c>
      <c r="G52" s="6">
        <f t="shared" si="8"/>
        <v>-101352.29619699373</v>
      </c>
      <c r="H52" s="6">
        <f t="shared" si="3"/>
        <v>-4163.8335089885131</v>
      </c>
      <c r="I52" s="6">
        <f t="shared" si="4"/>
        <v>1455618.1233823958</v>
      </c>
      <c r="J52" s="6" t="str">
        <f>IF(B52&lt;&gt;"",IF(AND(Input!$H$54="Annual",MOD(B52,12)=0),Input!$J$54,IF(AND(Input!$H$54="1st Installment",B52=1),Input!$J$54,IF(Input!$H$54="Monthly",Input!$J$54,""))),"")</f>
        <v/>
      </c>
      <c r="K52" s="6">
        <f>IF(B52&lt;&gt;"",IF(AND(Input!$H$55="Annual",MOD(B52,12)=0),Input!$J$55,IF(AND(Input!$H$55="1st Installment",B52=1),Input!$J$55,IF(Input!$H$55="Monthly",Input!$J$55,""))),"")</f>
        <v>0</v>
      </c>
      <c r="L52" s="6" t="str">
        <f>IF(B52&lt;&gt;"",IF(AND(Input!$H$56="Annual",MOD(B52,12)=0),Input!$J$56,IF(AND(Input!$H$56="1st Installment",B52=1),Input!$J$56,IF(Input!$H$56="Monthly",Input!$J$56,""))),"")</f>
        <v/>
      </c>
      <c r="M52" s="6" t="str">
        <f>IF(B52&lt;&gt;"",IF(AND(Input!$H$57="Annual",MOD(B52,12)=0),Input!$J$57,IF(AND(Input!$H$57="1st Installment",B52=1),Input!$J$57,IF(Input!$H$57="Monthly",Input!$J$57,""))),"")</f>
        <v/>
      </c>
      <c r="N52" s="6" t="str">
        <f>IF(B52&lt;&gt;"",IF(AND(Input!$H$58="Annual",MOD(B52,12)=0),Input!$J$58,IF(AND(Input!$H$58="1st Installment",B52=1),Input!$J$58,IF(Input!$H$58="Monthly",Input!$J$58,IF(AND(Input!$H$58="End of the loan",B52=Input!$E$58),Input!$J$58,"")))),"")</f>
        <v/>
      </c>
      <c r="O52" s="6">
        <f t="shared" si="0"/>
        <v>0</v>
      </c>
      <c r="P52" s="4">
        <f t="shared" si="1"/>
        <v>4163.8335089885131</v>
      </c>
      <c r="T52" s="9">
        <f t="shared" si="2"/>
        <v>45621</v>
      </c>
      <c r="U52" s="5">
        <f t="shared" si="5"/>
        <v>4163.83</v>
      </c>
    </row>
    <row r="53" spans="2:21">
      <c r="B53" s="16">
        <f t="shared" si="6"/>
        <v>36</v>
      </c>
      <c r="C53" s="9">
        <f t="shared" si="7"/>
        <v>45651</v>
      </c>
      <c r="D53" s="6">
        <f>IFERROR((PPMT(Input!$E$55/12,B53,$C$6,Input!$E$54,-Input!$E$65,0))," ")</f>
        <v>-1313.2480173646554</v>
      </c>
      <c r="E53" s="6">
        <f>IFERROR(((IPMT(Input!$E$55/12,B53,$C$6,Input!$E$54,-Input!$E$65,0)))," ")</f>
        <v>-2850.5854916238582</v>
      </c>
      <c r="F53" s="6">
        <f t="shared" si="9"/>
        <v>-45695.124634968903</v>
      </c>
      <c r="G53" s="6">
        <f t="shared" si="8"/>
        <v>-104202.88168861759</v>
      </c>
      <c r="H53" s="6">
        <f t="shared" si="3"/>
        <v>-4163.8335089885131</v>
      </c>
      <c r="I53" s="6">
        <f t="shared" si="4"/>
        <v>1454304.8753650312</v>
      </c>
      <c r="J53" s="6" t="str">
        <f>IF(B53&lt;&gt;"",IF(AND(Input!$H$54="Annual",MOD(B53,12)=0),Input!$J$54,IF(AND(Input!$H$54="1st Installment",B53=1),Input!$J$54,IF(Input!$H$54="Monthly",Input!$J$54,""))),"")</f>
        <v/>
      </c>
      <c r="K53" s="6">
        <f>IF(B53&lt;&gt;"",IF(AND(Input!$H$55="Annual",MOD(B53,12)=0),Input!$J$55,IF(AND(Input!$H$55="1st Installment",B53=1),Input!$J$55,IF(Input!$H$55="Monthly",Input!$J$55,""))),"")</f>
        <v>0</v>
      </c>
      <c r="L53" s="6" t="str">
        <f>IF(B53&lt;&gt;"",IF(AND(Input!$H$56="Annual",MOD(B53,12)=0),Input!$J$56,IF(AND(Input!$H$56="1st Installment",B53=1),Input!$J$56,IF(Input!$H$56="Monthly",Input!$J$56,""))),"")</f>
        <v/>
      </c>
      <c r="M53" s="6" t="str">
        <f>IF(B53&lt;&gt;"",IF(AND(Input!$H$57="Annual",MOD(B53,12)=0),Input!$J$57,IF(AND(Input!$H$57="1st Installment",B53=1),Input!$J$57,IF(Input!$H$57="Monthly",Input!$J$57,""))),"")</f>
        <v/>
      </c>
      <c r="N53" s="6" t="str">
        <f>IF(B53&lt;&gt;"",IF(AND(Input!$H$58="Annual",MOD(B53,12)=0),Input!$J$58,IF(AND(Input!$H$58="1st Installment",B53=1),Input!$J$58,IF(Input!$H$58="Monthly",Input!$J$58,IF(AND(Input!$H$58="End of the loan",B53=Input!$E$58),Input!$J$58,"")))),"")</f>
        <v/>
      </c>
      <c r="O53" s="6">
        <f t="shared" si="0"/>
        <v>0</v>
      </c>
      <c r="P53" s="4">
        <f t="shared" si="1"/>
        <v>4163.8335089885131</v>
      </c>
      <c r="T53" s="9">
        <f t="shared" si="2"/>
        <v>45651</v>
      </c>
      <c r="U53" s="5">
        <f t="shared" si="5"/>
        <v>4163.83</v>
      </c>
    </row>
    <row r="54" spans="2:21">
      <c r="B54" s="16">
        <f t="shared" si="6"/>
        <v>37</v>
      </c>
      <c r="C54" s="9">
        <f t="shared" si="7"/>
        <v>45682</v>
      </c>
      <c r="D54" s="6">
        <f>IFERROR((PPMT(Input!$E$55/12,B54,$C$6,Input!$E$54,-Input!$E$65,0))," ")</f>
        <v>-1315.8197947319945</v>
      </c>
      <c r="E54" s="6">
        <f>IFERROR(((IPMT(Input!$E$55/12,B54,$C$6,Input!$E$54,-Input!$E$65,0)))," ")</f>
        <v>-2848.0137142565191</v>
      </c>
      <c r="F54" s="6">
        <f t="shared" si="9"/>
        <v>-47010.944429700896</v>
      </c>
      <c r="G54" s="6">
        <f t="shared" si="8"/>
        <v>-107050.89540287411</v>
      </c>
      <c r="H54" s="6">
        <f t="shared" si="3"/>
        <v>-4163.8335089885131</v>
      </c>
      <c r="I54" s="6">
        <f t="shared" si="4"/>
        <v>1452989.055570299</v>
      </c>
      <c r="J54" s="6" t="str">
        <f>IF(B54&lt;&gt;"",IF(AND(Input!$H$54="Annual",MOD(B54,12)=0),Input!$J$54,IF(AND(Input!$H$54="1st Installment",B54=1),Input!$J$54,IF(Input!$H$54="Monthly",Input!$J$54,""))),"")</f>
        <v/>
      </c>
      <c r="K54" s="6">
        <f>IF(B54&lt;&gt;"",IF(AND(Input!$H$55="Annual",MOD(B54,12)=0),Input!$J$55,IF(AND(Input!$H$55="1st Installment",B54=1),Input!$J$55,IF(Input!$H$55="Monthly",Input!$J$55,""))),"")</f>
        <v>0</v>
      </c>
      <c r="L54" s="6" t="str">
        <f>IF(B54&lt;&gt;"",IF(AND(Input!$H$56="Annual",MOD(B54,12)=0),Input!$J$56,IF(AND(Input!$H$56="1st Installment",B54=1),Input!$J$56,IF(Input!$H$56="Monthly",Input!$J$56,""))),"")</f>
        <v/>
      </c>
      <c r="M54" s="6" t="str">
        <f>IF(B54&lt;&gt;"",IF(AND(Input!$H$57="Annual",MOD(B54,12)=0),Input!$J$57,IF(AND(Input!$H$57="1st Installment",B54=1),Input!$J$57,IF(Input!$H$57="Monthly",Input!$J$57,""))),"")</f>
        <v/>
      </c>
      <c r="N54" s="6" t="str">
        <f>IF(B54&lt;&gt;"",IF(AND(Input!$H$58="Annual",MOD(B54,12)=0),Input!$J$58,IF(AND(Input!$H$58="1st Installment",B54=1),Input!$J$58,IF(Input!$H$58="Monthly",Input!$J$58,IF(AND(Input!$H$58="End of the loan",B54=Input!$E$58),Input!$J$58,"")))),"")</f>
        <v/>
      </c>
      <c r="O54" s="6">
        <f t="shared" si="0"/>
        <v>0</v>
      </c>
      <c r="P54" s="4">
        <f t="shared" si="1"/>
        <v>4163.8335089885131</v>
      </c>
      <c r="T54" s="9">
        <f t="shared" si="2"/>
        <v>45682</v>
      </c>
      <c r="U54" s="5">
        <f t="shared" si="5"/>
        <v>4163.83</v>
      </c>
    </row>
    <row r="55" spans="2:21">
      <c r="B55" s="16">
        <f t="shared" si="6"/>
        <v>38</v>
      </c>
      <c r="C55" s="9">
        <f t="shared" si="7"/>
        <v>45713</v>
      </c>
      <c r="D55" s="6">
        <f>IFERROR((PPMT(Input!$E$55/12,B55,$C$6,Input!$E$54,-Input!$E$65,0))," ")</f>
        <v>-1318.396608496678</v>
      </c>
      <c r="E55" s="6">
        <f>IFERROR(((IPMT(Input!$E$55/12,B55,$C$6,Input!$E$54,-Input!$E$65,0)))," ")</f>
        <v>-2845.4369004918358</v>
      </c>
      <c r="F55" s="6">
        <f t="shared" si="9"/>
        <v>-48329.341038197577</v>
      </c>
      <c r="G55" s="6">
        <f t="shared" si="8"/>
        <v>-109896.33230336595</v>
      </c>
      <c r="H55" s="6">
        <f t="shared" si="3"/>
        <v>-4163.833508988514</v>
      </c>
      <c r="I55" s="6">
        <f t="shared" si="4"/>
        <v>1451670.6589618025</v>
      </c>
      <c r="J55" s="6" t="str">
        <f>IF(B55&lt;&gt;"",IF(AND(Input!$H$54="Annual",MOD(B55,12)=0),Input!$J$54,IF(AND(Input!$H$54="1st Installment",B55=1),Input!$J$54,IF(Input!$H$54="Monthly",Input!$J$54,""))),"")</f>
        <v/>
      </c>
      <c r="K55" s="6">
        <f>IF(B55&lt;&gt;"",IF(AND(Input!$H$55="Annual",MOD(B55,12)=0),Input!$J$55,IF(AND(Input!$H$55="1st Installment",B55=1),Input!$J$55,IF(Input!$H$55="Monthly",Input!$J$55,""))),"")</f>
        <v>0</v>
      </c>
      <c r="L55" s="6" t="str">
        <f>IF(B55&lt;&gt;"",IF(AND(Input!$H$56="Annual",MOD(B55,12)=0),Input!$J$56,IF(AND(Input!$H$56="1st Installment",B55=1),Input!$J$56,IF(Input!$H$56="Monthly",Input!$J$56,""))),"")</f>
        <v/>
      </c>
      <c r="M55" s="6" t="str">
        <f>IF(B55&lt;&gt;"",IF(AND(Input!$H$57="Annual",MOD(B55,12)=0),Input!$J$57,IF(AND(Input!$H$57="1st Installment",B55=1),Input!$J$57,IF(Input!$H$57="Monthly",Input!$J$57,""))),"")</f>
        <v/>
      </c>
      <c r="N55" s="6" t="str">
        <f>IF(B55&lt;&gt;"",IF(AND(Input!$H$58="Annual",MOD(B55,12)=0),Input!$J$58,IF(AND(Input!$H$58="1st Installment",B55=1),Input!$J$58,IF(Input!$H$58="Monthly",Input!$J$58,IF(AND(Input!$H$58="End of the loan",B55=Input!$E$58),Input!$J$58,"")))),"")</f>
        <v/>
      </c>
      <c r="O55" s="6">
        <f t="shared" si="0"/>
        <v>0</v>
      </c>
      <c r="P55" s="4">
        <f t="shared" si="1"/>
        <v>4163.833508988514</v>
      </c>
      <c r="T55" s="9">
        <f t="shared" si="2"/>
        <v>45713</v>
      </c>
      <c r="U55" s="5">
        <f t="shared" si="5"/>
        <v>4163.83</v>
      </c>
    </row>
    <row r="56" spans="2:21">
      <c r="B56" s="16">
        <f t="shared" si="6"/>
        <v>39</v>
      </c>
      <c r="C56" s="9">
        <f t="shared" si="7"/>
        <v>45741</v>
      </c>
      <c r="D56" s="6">
        <f>IFERROR((PPMT(Input!$E$55/12,B56,$C$6,Input!$E$54,-Input!$E$65,0))," ")</f>
        <v>-1320.9784685216507</v>
      </c>
      <c r="E56" s="6">
        <f>IFERROR(((IPMT(Input!$E$55/12,B56,$C$6,Input!$E$54,-Input!$E$65,0)))," ")</f>
        <v>-2842.8550404668631</v>
      </c>
      <c r="F56" s="6">
        <f t="shared" si="9"/>
        <v>-49650.319506719228</v>
      </c>
      <c r="G56" s="6">
        <f t="shared" si="8"/>
        <v>-112739.18734383282</v>
      </c>
      <c r="H56" s="6">
        <f t="shared" si="3"/>
        <v>-4163.833508988514</v>
      </c>
      <c r="I56" s="6">
        <f t="shared" si="4"/>
        <v>1450349.6804932808</v>
      </c>
      <c r="J56" s="6" t="str">
        <f>IF(B56&lt;&gt;"",IF(AND(Input!$H$54="Annual",MOD(B56,12)=0),Input!$J$54,IF(AND(Input!$H$54="1st Installment",B56=1),Input!$J$54,IF(Input!$H$54="Monthly",Input!$J$54,""))),"")</f>
        <v/>
      </c>
      <c r="K56" s="6">
        <f>IF(B56&lt;&gt;"",IF(AND(Input!$H$55="Annual",MOD(B56,12)=0),Input!$J$55,IF(AND(Input!$H$55="1st Installment",B56=1),Input!$J$55,IF(Input!$H$55="Monthly",Input!$J$55,""))),"")</f>
        <v>0</v>
      </c>
      <c r="L56" s="6" t="str">
        <f>IF(B56&lt;&gt;"",IF(AND(Input!$H$56="Annual",MOD(B56,12)=0),Input!$J$56,IF(AND(Input!$H$56="1st Installment",B56=1),Input!$J$56,IF(Input!$H$56="Monthly",Input!$J$56,""))),"")</f>
        <v/>
      </c>
      <c r="M56" s="6" t="str">
        <f>IF(B56&lt;&gt;"",IF(AND(Input!$H$57="Annual",MOD(B56,12)=0),Input!$J$57,IF(AND(Input!$H$57="1st Installment",B56=1),Input!$J$57,IF(Input!$H$57="Monthly",Input!$J$57,""))),"")</f>
        <v/>
      </c>
      <c r="N56" s="6" t="str">
        <f>IF(B56&lt;&gt;"",IF(AND(Input!$H$58="Annual",MOD(B56,12)=0),Input!$J$58,IF(AND(Input!$H$58="1st Installment",B56=1),Input!$J$58,IF(Input!$H$58="Monthly",Input!$J$58,IF(AND(Input!$H$58="End of the loan",B56=Input!$E$58),Input!$J$58,"")))),"")</f>
        <v/>
      </c>
      <c r="O56" s="6">
        <f t="shared" si="0"/>
        <v>0</v>
      </c>
      <c r="P56" s="4">
        <f t="shared" si="1"/>
        <v>4163.833508988514</v>
      </c>
      <c r="T56" s="9">
        <f t="shared" si="2"/>
        <v>45741</v>
      </c>
      <c r="U56" s="5">
        <f t="shared" si="5"/>
        <v>4163.83</v>
      </c>
    </row>
    <row r="57" spans="2:21">
      <c r="B57" s="16">
        <f t="shared" si="6"/>
        <v>40</v>
      </c>
      <c r="C57" s="9">
        <f t="shared" si="7"/>
        <v>45772</v>
      </c>
      <c r="D57" s="6">
        <f>IFERROR((PPMT(Input!$E$55/12,B57,$C$6,Input!$E$54,-Input!$E$65,0))," ")</f>
        <v>-1323.5653846891721</v>
      </c>
      <c r="E57" s="6">
        <f>IFERROR(((IPMT(Input!$E$55/12,B57,$C$6,Input!$E$54,-Input!$E$65,0)))," ")</f>
        <v>-2840.2681242993417</v>
      </c>
      <c r="F57" s="6">
        <f t="shared" si="9"/>
        <v>-50973.884891408401</v>
      </c>
      <c r="G57" s="6">
        <f t="shared" si="8"/>
        <v>-115579.45546813216</v>
      </c>
      <c r="H57" s="6">
        <f t="shared" si="3"/>
        <v>-4163.833508988514</v>
      </c>
      <c r="I57" s="6">
        <f t="shared" si="4"/>
        <v>1449026.1151085915</v>
      </c>
      <c r="J57" s="6" t="str">
        <f>IF(B57&lt;&gt;"",IF(AND(Input!$H$54="Annual",MOD(B57,12)=0),Input!$J$54,IF(AND(Input!$H$54="1st Installment",B57=1),Input!$J$54,IF(Input!$H$54="Monthly",Input!$J$54,""))),"")</f>
        <v/>
      </c>
      <c r="K57" s="6">
        <f>IF(B57&lt;&gt;"",IF(AND(Input!$H$55="Annual",MOD(B57,12)=0),Input!$J$55,IF(AND(Input!$H$55="1st Installment",B57=1),Input!$J$55,IF(Input!$H$55="Monthly",Input!$J$55,""))),"")</f>
        <v>0</v>
      </c>
      <c r="L57" s="6" t="str">
        <f>IF(B57&lt;&gt;"",IF(AND(Input!$H$56="Annual",MOD(B57,12)=0),Input!$J$56,IF(AND(Input!$H$56="1st Installment",B57=1),Input!$J$56,IF(Input!$H$56="Monthly",Input!$J$56,""))),"")</f>
        <v/>
      </c>
      <c r="M57" s="6" t="str">
        <f>IF(B57&lt;&gt;"",IF(AND(Input!$H$57="Annual",MOD(B57,12)=0),Input!$J$57,IF(AND(Input!$H$57="1st Installment",B57=1),Input!$J$57,IF(Input!$H$57="Monthly",Input!$J$57,""))),"")</f>
        <v/>
      </c>
      <c r="N57" s="6" t="str">
        <f>IF(B57&lt;&gt;"",IF(AND(Input!$H$58="Annual",MOD(B57,12)=0),Input!$J$58,IF(AND(Input!$H$58="1st Installment",B57=1),Input!$J$58,IF(Input!$H$58="Monthly",Input!$J$58,IF(AND(Input!$H$58="End of the loan",B57=Input!$E$58),Input!$J$58,"")))),"")</f>
        <v/>
      </c>
      <c r="O57" s="6">
        <f t="shared" si="0"/>
        <v>0</v>
      </c>
      <c r="P57" s="4">
        <f t="shared" si="1"/>
        <v>4163.833508988514</v>
      </c>
      <c r="T57" s="9">
        <f t="shared" si="2"/>
        <v>45772</v>
      </c>
      <c r="U57" s="5">
        <f t="shared" si="5"/>
        <v>4163.83</v>
      </c>
    </row>
    <row r="58" spans="2:21">
      <c r="B58" s="16">
        <f t="shared" si="6"/>
        <v>41</v>
      </c>
      <c r="C58" s="9">
        <f t="shared" si="7"/>
        <v>45802</v>
      </c>
      <c r="D58" s="6">
        <f>IFERROR((PPMT(Input!$E$55/12,B58,$C$6,Input!$E$54,-Input!$E$65,0))," ")</f>
        <v>-1326.1573669008551</v>
      </c>
      <c r="E58" s="6">
        <f>IFERROR(((IPMT(Input!$E$55/12,B58,$C$6,Input!$E$54,-Input!$E$65,0)))," ")</f>
        <v>-2837.6761420876587</v>
      </c>
      <c r="F58" s="6">
        <f t="shared" si="9"/>
        <v>-52300.042258309259</v>
      </c>
      <c r="G58" s="6">
        <f t="shared" si="8"/>
        <v>-118417.13161021982</v>
      </c>
      <c r="H58" s="6">
        <f t="shared" si="3"/>
        <v>-4163.833508988514</v>
      </c>
      <c r="I58" s="6">
        <f t="shared" si="4"/>
        <v>1447699.9577416908</v>
      </c>
      <c r="J58" s="6" t="str">
        <f>IF(B58&lt;&gt;"",IF(AND(Input!$H$54="Annual",MOD(B58,12)=0),Input!$J$54,IF(AND(Input!$H$54="1st Installment",B58=1),Input!$J$54,IF(Input!$H$54="Monthly",Input!$J$54,""))),"")</f>
        <v/>
      </c>
      <c r="K58" s="6">
        <f>IF(B58&lt;&gt;"",IF(AND(Input!$H$55="Annual",MOD(B58,12)=0),Input!$J$55,IF(AND(Input!$H$55="1st Installment",B58=1),Input!$J$55,IF(Input!$H$55="Monthly",Input!$J$55,""))),"")</f>
        <v>0</v>
      </c>
      <c r="L58" s="6" t="str">
        <f>IF(B58&lt;&gt;"",IF(AND(Input!$H$56="Annual",MOD(B58,12)=0),Input!$J$56,IF(AND(Input!$H$56="1st Installment",B58=1),Input!$J$56,IF(Input!$H$56="Monthly",Input!$J$56,""))),"")</f>
        <v/>
      </c>
      <c r="M58" s="6" t="str">
        <f>IF(B58&lt;&gt;"",IF(AND(Input!$H$57="Annual",MOD(B58,12)=0),Input!$J$57,IF(AND(Input!$H$57="1st Installment",B58=1),Input!$J$57,IF(Input!$H$57="Monthly",Input!$J$57,""))),"")</f>
        <v/>
      </c>
      <c r="N58" s="6" t="str">
        <f>IF(B58&lt;&gt;"",IF(AND(Input!$H$58="Annual",MOD(B58,12)=0),Input!$J$58,IF(AND(Input!$H$58="1st Installment",B58=1),Input!$J$58,IF(Input!$H$58="Monthly",Input!$J$58,IF(AND(Input!$H$58="End of the loan",B58=Input!$E$58),Input!$J$58,"")))),"")</f>
        <v/>
      </c>
      <c r="O58" s="6">
        <f t="shared" si="0"/>
        <v>0</v>
      </c>
      <c r="P58" s="4">
        <f t="shared" si="1"/>
        <v>4163.833508988514</v>
      </c>
      <c r="T58" s="9">
        <f t="shared" si="2"/>
        <v>45802</v>
      </c>
      <c r="U58" s="5">
        <f t="shared" si="5"/>
        <v>4163.83</v>
      </c>
    </row>
    <row r="59" spans="2:21">
      <c r="B59" s="16">
        <f t="shared" si="6"/>
        <v>42</v>
      </c>
      <c r="C59" s="9">
        <f t="shared" si="7"/>
        <v>45833</v>
      </c>
      <c r="D59" s="6">
        <f>IFERROR((PPMT(Input!$E$55/12,B59,$C$6,Input!$E$54,-Input!$E$65,0))," ")</f>
        <v>-1328.7544250777025</v>
      </c>
      <c r="E59" s="6">
        <f>IFERROR(((IPMT(Input!$E$55/12,B59,$C$6,Input!$E$54,-Input!$E$65,0)))," ")</f>
        <v>-2835.0790839108108</v>
      </c>
      <c r="F59" s="6">
        <f t="shared" si="9"/>
        <v>-53628.796683386958</v>
      </c>
      <c r="G59" s="6">
        <f t="shared" si="8"/>
        <v>-121252.21069413063</v>
      </c>
      <c r="H59" s="6">
        <f t="shared" si="3"/>
        <v>-4163.8335089885131</v>
      </c>
      <c r="I59" s="6">
        <f t="shared" si="4"/>
        <v>1446371.2033166131</v>
      </c>
      <c r="J59" s="6" t="str">
        <f>IF(B59&lt;&gt;"",IF(AND(Input!$H$54="Annual",MOD(B59,12)=0),Input!$J$54,IF(AND(Input!$H$54="1st Installment",B59=1),Input!$J$54,IF(Input!$H$54="Monthly",Input!$J$54,""))),"")</f>
        <v/>
      </c>
      <c r="K59" s="6">
        <f>IF(B59&lt;&gt;"",IF(AND(Input!$H$55="Annual",MOD(B59,12)=0),Input!$J$55,IF(AND(Input!$H$55="1st Installment",B59=1),Input!$J$55,IF(Input!$H$55="Monthly",Input!$J$55,""))),"")</f>
        <v>0</v>
      </c>
      <c r="L59" s="6" t="str">
        <f>IF(B59&lt;&gt;"",IF(AND(Input!$H$56="Annual",MOD(B59,12)=0),Input!$J$56,IF(AND(Input!$H$56="1st Installment",B59=1),Input!$J$56,IF(Input!$H$56="Monthly",Input!$J$56,""))),"")</f>
        <v/>
      </c>
      <c r="M59" s="6" t="str">
        <f>IF(B59&lt;&gt;"",IF(AND(Input!$H$57="Annual",MOD(B59,12)=0),Input!$J$57,IF(AND(Input!$H$57="1st Installment",B59=1),Input!$J$57,IF(Input!$H$57="Monthly",Input!$J$57,""))),"")</f>
        <v/>
      </c>
      <c r="N59" s="6" t="str">
        <f>IF(B59&lt;&gt;"",IF(AND(Input!$H$58="Annual",MOD(B59,12)=0),Input!$J$58,IF(AND(Input!$H$58="1st Installment",B59=1),Input!$J$58,IF(Input!$H$58="Monthly",Input!$J$58,IF(AND(Input!$H$58="End of the loan",B59=Input!$E$58),Input!$J$58,"")))),"")</f>
        <v/>
      </c>
      <c r="O59" s="6">
        <f t="shared" si="0"/>
        <v>0</v>
      </c>
      <c r="P59" s="4">
        <f t="shared" si="1"/>
        <v>4163.8335089885131</v>
      </c>
      <c r="T59" s="9">
        <f t="shared" si="2"/>
        <v>45833</v>
      </c>
      <c r="U59" s="5">
        <f t="shared" si="5"/>
        <v>4163.83</v>
      </c>
    </row>
    <row r="60" spans="2:21">
      <c r="B60" s="16">
        <f t="shared" si="6"/>
        <v>43</v>
      </c>
      <c r="C60" s="9">
        <f t="shared" si="7"/>
        <v>45863</v>
      </c>
      <c r="D60" s="6">
        <f>IFERROR((PPMT(Input!$E$55/12,B60,$C$6,Input!$E$54,-Input!$E$65,0))," ")</f>
        <v>-1331.3565691601464</v>
      </c>
      <c r="E60" s="6">
        <f>IFERROR(((IPMT(Input!$E$55/12,B60,$C$6,Input!$E$54,-Input!$E$65,0)))," ")</f>
        <v>-2832.476939828367</v>
      </c>
      <c r="F60" s="6">
        <f t="shared" si="9"/>
        <v>-54960.153252547105</v>
      </c>
      <c r="G60" s="6">
        <f t="shared" si="8"/>
        <v>-124084.68763395899</v>
      </c>
      <c r="H60" s="6">
        <f t="shared" si="3"/>
        <v>-4163.8335089885131</v>
      </c>
      <c r="I60" s="6">
        <f t="shared" si="4"/>
        <v>1445039.8467474529</v>
      </c>
      <c r="J60" s="6" t="str">
        <f>IF(B60&lt;&gt;"",IF(AND(Input!$H$54="Annual",MOD(B60,12)=0),Input!$J$54,IF(AND(Input!$H$54="1st Installment",B60=1),Input!$J$54,IF(Input!$H$54="Monthly",Input!$J$54,""))),"")</f>
        <v/>
      </c>
      <c r="K60" s="6">
        <f>IF(B60&lt;&gt;"",IF(AND(Input!$H$55="Annual",MOD(B60,12)=0),Input!$J$55,IF(AND(Input!$H$55="1st Installment",B60=1),Input!$J$55,IF(Input!$H$55="Monthly",Input!$J$55,""))),"")</f>
        <v>0</v>
      </c>
      <c r="L60" s="6" t="str">
        <f>IF(B60&lt;&gt;"",IF(AND(Input!$H$56="Annual",MOD(B60,12)=0),Input!$J$56,IF(AND(Input!$H$56="1st Installment",B60=1),Input!$J$56,IF(Input!$H$56="Monthly",Input!$J$56,""))),"")</f>
        <v/>
      </c>
      <c r="M60" s="6" t="str">
        <f>IF(B60&lt;&gt;"",IF(AND(Input!$H$57="Annual",MOD(B60,12)=0),Input!$J$57,IF(AND(Input!$H$57="1st Installment",B60=1),Input!$J$57,IF(Input!$H$57="Monthly",Input!$J$57,""))),"")</f>
        <v/>
      </c>
      <c r="N60" s="6" t="str">
        <f>IF(B60&lt;&gt;"",IF(AND(Input!$H$58="Annual",MOD(B60,12)=0),Input!$J$58,IF(AND(Input!$H$58="1st Installment",B60=1),Input!$J$58,IF(Input!$H$58="Monthly",Input!$J$58,IF(AND(Input!$H$58="End of the loan",B60=Input!$E$58),Input!$J$58,"")))),"")</f>
        <v/>
      </c>
      <c r="O60" s="6">
        <f t="shared" si="0"/>
        <v>0</v>
      </c>
      <c r="P60" s="4">
        <f t="shared" si="1"/>
        <v>4163.8335089885131</v>
      </c>
      <c r="T60" s="9">
        <f t="shared" si="2"/>
        <v>45863</v>
      </c>
      <c r="U60" s="5">
        <f t="shared" si="5"/>
        <v>4163.83</v>
      </c>
    </row>
    <row r="61" spans="2:21">
      <c r="B61" s="16">
        <f t="shared" si="6"/>
        <v>44</v>
      </c>
      <c r="C61" s="9">
        <f t="shared" si="7"/>
        <v>45894</v>
      </c>
      <c r="D61" s="6">
        <f>IFERROR((PPMT(Input!$E$55/12,B61,$C$6,Input!$E$54,-Input!$E$65,0))," ")</f>
        <v>-1333.9638091080851</v>
      </c>
      <c r="E61" s="6">
        <f>IFERROR(((IPMT(Input!$E$55/12,B61,$C$6,Input!$E$54,-Input!$E$65,0)))," ")</f>
        <v>-2829.8696998804285</v>
      </c>
      <c r="F61" s="6">
        <f t="shared" si="9"/>
        <v>-56294.11706165519</v>
      </c>
      <c r="G61" s="6">
        <f t="shared" si="8"/>
        <v>-126914.55733383942</v>
      </c>
      <c r="H61" s="6">
        <f t="shared" si="3"/>
        <v>-4163.8335089885131</v>
      </c>
      <c r="I61" s="6">
        <f t="shared" si="4"/>
        <v>1443705.8829383447</v>
      </c>
      <c r="J61" s="6" t="str">
        <f>IF(B61&lt;&gt;"",IF(AND(Input!$H$54="Annual",MOD(B61,12)=0),Input!$J$54,IF(AND(Input!$H$54="1st Installment",B61=1),Input!$J$54,IF(Input!$H$54="Monthly",Input!$J$54,""))),"")</f>
        <v/>
      </c>
      <c r="K61" s="6">
        <f>IF(B61&lt;&gt;"",IF(AND(Input!$H$55="Annual",MOD(B61,12)=0),Input!$J$55,IF(AND(Input!$H$55="1st Installment",B61=1),Input!$J$55,IF(Input!$H$55="Monthly",Input!$J$55,""))),"")</f>
        <v>0</v>
      </c>
      <c r="L61" s="6" t="str">
        <f>IF(B61&lt;&gt;"",IF(AND(Input!$H$56="Annual",MOD(B61,12)=0),Input!$J$56,IF(AND(Input!$H$56="1st Installment",B61=1),Input!$J$56,IF(Input!$H$56="Monthly",Input!$J$56,""))),"")</f>
        <v/>
      </c>
      <c r="M61" s="6" t="str">
        <f>IF(B61&lt;&gt;"",IF(AND(Input!$H$57="Annual",MOD(B61,12)=0),Input!$J$57,IF(AND(Input!$H$57="1st Installment",B61=1),Input!$J$57,IF(Input!$H$57="Monthly",Input!$J$57,""))),"")</f>
        <v/>
      </c>
      <c r="N61" s="6" t="str">
        <f>IF(B61&lt;&gt;"",IF(AND(Input!$H$58="Annual",MOD(B61,12)=0),Input!$J$58,IF(AND(Input!$H$58="1st Installment",B61=1),Input!$J$58,IF(Input!$H$58="Monthly",Input!$J$58,IF(AND(Input!$H$58="End of the loan",B61=Input!$E$58),Input!$J$58,"")))),"")</f>
        <v/>
      </c>
      <c r="O61" s="6">
        <f t="shared" si="0"/>
        <v>0</v>
      </c>
      <c r="P61" s="4">
        <f t="shared" si="1"/>
        <v>4163.8335089885131</v>
      </c>
      <c r="T61" s="9">
        <f t="shared" si="2"/>
        <v>45894</v>
      </c>
      <c r="U61" s="5">
        <f t="shared" si="5"/>
        <v>4163.83</v>
      </c>
    </row>
    <row r="62" spans="2:21">
      <c r="B62" s="16">
        <f t="shared" si="6"/>
        <v>45</v>
      </c>
      <c r="C62" s="9">
        <f t="shared" si="7"/>
        <v>45925</v>
      </c>
      <c r="D62" s="6">
        <f>IFERROR((PPMT(Input!$E$55/12,B62,$C$6,Input!$E$54,-Input!$E$65,0))," ")</f>
        <v>-1336.5761549009219</v>
      </c>
      <c r="E62" s="6">
        <f>IFERROR(((IPMT(Input!$E$55/12,B62,$C$6,Input!$E$54,-Input!$E$65,0)))," ")</f>
        <v>-2827.2573540875919</v>
      </c>
      <c r="F62" s="6">
        <f t="shared" si="9"/>
        <v>-57630.693216556108</v>
      </c>
      <c r="G62" s="6">
        <f t="shared" si="8"/>
        <v>-129741.81468792701</v>
      </c>
      <c r="H62" s="6">
        <f t="shared" si="3"/>
        <v>-4163.833508988514</v>
      </c>
      <c r="I62" s="6">
        <f t="shared" si="4"/>
        <v>1442369.3067834438</v>
      </c>
      <c r="J62" s="6" t="str">
        <f>IF(B62&lt;&gt;"",IF(AND(Input!$H$54="Annual",MOD(B62,12)=0),Input!$J$54,IF(AND(Input!$H$54="1st Installment",B62=1),Input!$J$54,IF(Input!$H$54="Monthly",Input!$J$54,""))),"")</f>
        <v/>
      </c>
      <c r="K62" s="6">
        <f>IF(B62&lt;&gt;"",IF(AND(Input!$H$55="Annual",MOD(B62,12)=0),Input!$J$55,IF(AND(Input!$H$55="1st Installment",B62=1),Input!$J$55,IF(Input!$H$55="Monthly",Input!$J$55,""))),"")</f>
        <v>0</v>
      </c>
      <c r="L62" s="6" t="str">
        <f>IF(B62&lt;&gt;"",IF(AND(Input!$H$56="Annual",MOD(B62,12)=0),Input!$J$56,IF(AND(Input!$H$56="1st Installment",B62=1),Input!$J$56,IF(Input!$H$56="Monthly",Input!$J$56,""))),"")</f>
        <v/>
      </c>
      <c r="M62" s="6" t="str">
        <f>IF(B62&lt;&gt;"",IF(AND(Input!$H$57="Annual",MOD(B62,12)=0),Input!$J$57,IF(AND(Input!$H$57="1st Installment",B62=1),Input!$J$57,IF(Input!$H$57="Monthly",Input!$J$57,""))),"")</f>
        <v/>
      </c>
      <c r="N62" s="6" t="str">
        <f>IF(B62&lt;&gt;"",IF(AND(Input!$H$58="Annual",MOD(B62,12)=0),Input!$J$58,IF(AND(Input!$H$58="1st Installment",B62=1),Input!$J$58,IF(Input!$H$58="Monthly",Input!$J$58,IF(AND(Input!$H$58="End of the loan",B62=Input!$E$58),Input!$J$58,"")))),"")</f>
        <v/>
      </c>
      <c r="O62" s="6">
        <f t="shared" si="0"/>
        <v>0</v>
      </c>
      <c r="P62" s="4">
        <f t="shared" si="1"/>
        <v>4163.833508988514</v>
      </c>
      <c r="T62" s="9">
        <f t="shared" si="2"/>
        <v>45925</v>
      </c>
      <c r="U62" s="5">
        <f t="shared" si="5"/>
        <v>4163.83</v>
      </c>
    </row>
    <row r="63" spans="2:21">
      <c r="B63" s="16">
        <f t="shared" si="6"/>
        <v>46</v>
      </c>
      <c r="C63" s="9">
        <f t="shared" si="7"/>
        <v>45955</v>
      </c>
      <c r="D63" s="6">
        <f>IFERROR((PPMT(Input!$E$55/12,B63,$C$6,Input!$E$54,-Input!$E$65,0))," ")</f>
        <v>-1339.1936165376028</v>
      </c>
      <c r="E63" s="6">
        <f>IFERROR(((IPMT(Input!$E$55/12,B63,$C$6,Input!$E$54,-Input!$E$65,0)))," ")</f>
        <v>-2824.6398924509108</v>
      </c>
      <c r="F63" s="6">
        <f t="shared" si="9"/>
        <v>-58969.886833093711</v>
      </c>
      <c r="G63" s="6">
        <f t="shared" si="8"/>
        <v>-132566.4545803779</v>
      </c>
      <c r="H63" s="6">
        <f t="shared" si="3"/>
        <v>-4163.8335089885131</v>
      </c>
      <c r="I63" s="6">
        <f t="shared" si="4"/>
        <v>1441030.1131669064</v>
      </c>
      <c r="J63" s="6" t="str">
        <f>IF(B63&lt;&gt;"",IF(AND(Input!$H$54="Annual",MOD(B63,12)=0),Input!$J$54,IF(AND(Input!$H$54="1st Installment",B63=1),Input!$J$54,IF(Input!$H$54="Monthly",Input!$J$54,""))),"")</f>
        <v/>
      </c>
      <c r="K63" s="6">
        <f>IF(B63&lt;&gt;"",IF(AND(Input!$H$55="Annual",MOD(B63,12)=0),Input!$J$55,IF(AND(Input!$H$55="1st Installment",B63=1),Input!$J$55,IF(Input!$H$55="Monthly",Input!$J$55,""))),"")</f>
        <v>0</v>
      </c>
      <c r="L63" s="6" t="str">
        <f>IF(B63&lt;&gt;"",IF(AND(Input!$H$56="Annual",MOD(B63,12)=0),Input!$J$56,IF(AND(Input!$H$56="1st Installment",B63=1),Input!$J$56,IF(Input!$H$56="Monthly",Input!$J$56,""))),"")</f>
        <v/>
      </c>
      <c r="M63" s="6" t="str">
        <f>IF(B63&lt;&gt;"",IF(AND(Input!$H$57="Annual",MOD(B63,12)=0),Input!$J$57,IF(AND(Input!$H$57="1st Installment",B63=1),Input!$J$57,IF(Input!$H$57="Monthly",Input!$J$57,""))),"")</f>
        <v/>
      </c>
      <c r="N63" s="6" t="str">
        <f>IF(B63&lt;&gt;"",IF(AND(Input!$H$58="Annual",MOD(B63,12)=0),Input!$J$58,IF(AND(Input!$H$58="1st Installment",B63=1),Input!$J$58,IF(Input!$H$58="Monthly",Input!$J$58,IF(AND(Input!$H$58="End of the loan",B63=Input!$E$58),Input!$J$58,"")))),"")</f>
        <v/>
      </c>
      <c r="O63" s="6">
        <f t="shared" si="0"/>
        <v>0</v>
      </c>
      <c r="P63" s="4">
        <f t="shared" si="1"/>
        <v>4163.8335089885131</v>
      </c>
      <c r="T63" s="9">
        <f t="shared" si="2"/>
        <v>45955</v>
      </c>
      <c r="U63" s="5">
        <f t="shared" si="5"/>
        <v>4163.83</v>
      </c>
    </row>
    <row r="64" spans="2:21">
      <c r="B64" s="16">
        <f t="shared" si="6"/>
        <v>47</v>
      </c>
      <c r="C64" s="9">
        <f t="shared" si="7"/>
        <v>45986</v>
      </c>
      <c r="D64" s="6">
        <f>IFERROR((PPMT(Input!$E$55/12,B64,$C$6,Input!$E$54,-Input!$E$65,0))," ")</f>
        <v>-1341.8162040366556</v>
      </c>
      <c r="E64" s="6">
        <f>IFERROR(((IPMT(Input!$E$55/12,B64,$C$6,Input!$E$54,-Input!$E$65,0)))," ")</f>
        <v>-2822.017304951858</v>
      </c>
      <c r="F64" s="6">
        <f t="shared" si="9"/>
        <v>-60311.70303713037</v>
      </c>
      <c r="G64" s="6">
        <f t="shared" si="8"/>
        <v>-135388.47188532975</v>
      </c>
      <c r="H64" s="6">
        <f t="shared" si="3"/>
        <v>-4163.8335089885131</v>
      </c>
      <c r="I64" s="6">
        <f t="shared" si="4"/>
        <v>1439688.2969628696</v>
      </c>
      <c r="J64" s="6" t="str">
        <f>IF(B64&lt;&gt;"",IF(AND(Input!$H$54="Annual",MOD(B64,12)=0),Input!$J$54,IF(AND(Input!$H$54="1st Installment",B64=1),Input!$J$54,IF(Input!$H$54="Monthly",Input!$J$54,""))),"")</f>
        <v/>
      </c>
      <c r="K64" s="6">
        <f>IF(B64&lt;&gt;"",IF(AND(Input!$H$55="Annual",MOD(B64,12)=0),Input!$J$55,IF(AND(Input!$H$55="1st Installment",B64=1),Input!$J$55,IF(Input!$H$55="Monthly",Input!$J$55,""))),"")</f>
        <v>0</v>
      </c>
      <c r="L64" s="6" t="str">
        <f>IF(B64&lt;&gt;"",IF(AND(Input!$H$56="Annual",MOD(B64,12)=0),Input!$J$56,IF(AND(Input!$H$56="1st Installment",B64=1),Input!$J$56,IF(Input!$H$56="Monthly",Input!$J$56,""))),"")</f>
        <v/>
      </c>
      <c r="M64" s="6" t="str">
        <f>IF(B64&lt;&gt;"",IF(AND(Input!$H$57="Annual",MOD(B64,12)=0),Input!$J$57,IF(AND(Input!$H$57="1st Installment",B64=1),Input!$J$57,IF(Input!$H$57="Monthly",Input!$J$57,""))),"")</f>
        <v/>
      </c>
      <c r="N64" s="6" t="str">
        <f>IF(B64&lt;&gt;"",IF(AND(Input!$H$58="Annual",MOD(B64,12)=0),Input!$J$58,IF(AND(Input!$H$58="1st Installment",B64=1),Input!$J$58,IF(Input!$H$58="Monthly",Input!$J$58,IF(AND(Input!$H$58="End of the loan",B64=Input!$E$58),Input!$J$58,"")))),"")</f>
        <v/>
      </c>
      <c r="O64" s="6">
        <f t="shared" si="0"/>
        <v>0</v>
      </c>
      <c r="P64" s="4">
        <f t="shared" si="1"/>
        <v>4163.8335089885131</v>
      </c>
      <c r="T64" s="9">
        <f t="shared" si="2"/>
        <v>45986</v>
      </c>
      <c r="U64" s="5">
        <f t="shared" si="5"/>
        <v>4163.83</v>
      </c>
    </row>
    <row r="65" spans="2:21">
      <c r="B65" s="16">
        <f t="shared" si="6"/>
        <v>48</v>
      </c>
      <c r="C65" s="9">
        <f t="shared" si="7"/>
        <v>46016</v>
      </c>
      <c r="D65" s="6">
        <f>IFERROR((PPMT(Input!$E$55/12,B65,$C$6,Input!$E$54,-Input!$E$65,0))," ")</f>
        <v>-1344.4439274362271</v>
      </c>
      <c r="E65" s="6">
        <f>IFERROR(((IPMT(Input!$E$55/12,B65,$C$6,Input!$E$54,-Input!$E$65,0)))," ")</f>
        <v>-2819.3895815522865</v>
      </c>
      <c r="F65" s="6">
        <f t="shared" si="9"/>
        <v>-61656.1469645666</v>
      </c>
      <c r="G65" s="6">
        <f t="shared" si="8"/>
        <v>-138207.86146688205</v>
      </c>
      <c r="H65" s="6">
        <f t="shared" si="3"/>
        <v>-4163.8335089885131</v>
      </c>
      <c r="I65" s="6">
        <f t="shared" si="4"/>
        <v>1438343.8530354335</v>
      </c>
      <c r="J65" s="6" t="str">
        <f>IF(B65&lt;&gt;"",IF(AND(Input!$H$54="Annual",MOD(B65,12)=0),Input!$J$54,IF(AND(Input!$H$54="1st Installment",B65=1),Input!$J$54,IF(Input!$H$54="Monthly",Input!$J$54,""))),"")</f>
        <v/>
      </c>
      <c r="K65" s="6">
        <f>IF(B65&lt;&gt;"",IF(AND(Input!$H$55="Annual",MOD(B65,12)=0),Input!$J$55,IF(AND(Input!$H$55="1st Installment",B65=1),Input!$J$55,IF(Input!$H$55="Monthly",Input!$J$55,""))),"")</f>
        <v>0</v>
      </c>
      <c r="L65" s="6" t="str">
        <f>IF(B65&lt;&gt;"",IF(AND(Input!$H$56="Annual",MOD(B65,12)=0),Input!$J$56,IF(AND(Input!$H$56="1st Installment",B65=1),Input!$J$56,IF(Input!$H$56="Monthly",Input!$J$56,""))),"")</f>
        <v/>
      </c>
      <c r="M65" s="6" t="str">
        <f>IF(B65&lt;&gt;"",IF(AND(Input!$H$57="Annual",MOD(B65,12)=0),Input!$J$57,IF(AND(Input!$H$57="1st Installment",B65=1),Input!$J$57,IF(Input!$H$57="Monthly",Input!$J$57,""))),"")</f>
        <v/>
      </c>
      <c r="N65" s="6" t="str">
        <f>IF(B65&lt;&gt;"",IF(AND(Input!$H$58="Annual",MOD(B65,12)=0),Input!$J$58,IF(AND(Input!$H$58="1st Installment",B65=1),Input!$J$58,IF(Input!$H$58="Monthly",Input!$J$58,IF(AND(Input!$H$58="End of the loan",B65=Input!$E$58),Input!$J$58,"")))),"")</f>
        <v/>
      </c>
      <c r="O65" s="6">
        <f t="shared" si="0"/>
        <v>0</v>
      </c>
      <c r="P65" s="4">
        <f t="shared" si="1"/>
        <v>4163.8335089885131</v>
      </c>
      <c r="T65" s="9">
        <f t="shared" si="2"/>
        <v>46016</v>
      </c>
      <c r="U65" s="5">
        <f t="shared" si="5"/>
        <v>4163.83</v>
      </c>
    </row>
    <row r="66" spans="2:21">
      <c r="B66" s="16">
        <f t="shared" si="6"/>
        <v>49</v>
      </c>
      <c r="C66" s="9">
        <f t="shared" si="7"/>
        <v>46047</v>
      </c>
      <c r="D66" s="6">
        <f>IFERROR((PPMT(Input!$E$55/12,B66,$C$6,Input!$E$54,-Input!$E$65,0))," ")</f>
        <v>-1347.0767967941231</v>
      </c>
      <c r="E66" s="6">
        <f>IFERROR(((IPMT(Input!$E$55/12,B66,$C$6,Input!$E$54,-Input!$E$65,0)))," ")</f>
        <v>-2816.7567121943903</v>
      </c>
      <c r="F66" s="6">
        <f t="shared" si="9"/>
        <v>-63003.223761360721</v>
      </c>
      <c r="G66" s="6">
        <f t="shared" si="8"/>
        <v>-141024.61817907644</v>
      </c>
      <c r="H66" s="6">
        <f t="shared" si="3"/>
        <v>-4163.8335089885131</v>
      </c>
      <c r="I66" s="6">
        <f t="shared" si="4"/>
        <v>1436996.7762386394</v>
      </c>
      <c r="J66" s="6" t="str">
        <f>IF(B66&lt;&gt;"",IF(AND(Input!$H$54="Annual",MOD(B66,12)=0),Input!$J$54,IF(AND(Input!$H$54="1st Installment",B66=1),Input!$J$54,IF(Input!$H$54="Monthly",Input!$J$54,""))),"")</f>
        <v/>
      </c>
      <c r="K66" s="6">
        <f>IF(B66&lt;&gt;"",IF(AND(Input!$H$55="Annual",MOD(B66,12)=0),Input!$J$55,IF(AND(Input!$H$55="1st Installment",B66=1),Input!$J$55,IF(Input!$H$55="Monthly",Input!$J$55,""))),"")</f>
        <v>0</v>
      </c>
      <c r="L66" s="6" t="str">
        <f>IF(B66&lt;&gt;"",IF(AND(Input!$H$56="Annual",MOD(B66,12)=0),Input!$J$56,IF(AND(Input!$H$56="1st Installment",B66=1),Input!$J$56,IF(Input!$H$56="Monthly",Input!$J$56,""))),"")</f>
        <v/>
      </c>
      <c r="M66" s="6" t="str">
        <f>IF(B66&lt;&gt;"",IF(AND(Input!$H$57="Annual",MOD(B66,12)=0),Input!$J$57,IF(AND(Input!$H$57="1st Installment",B66=1),Input!$J$57,IF(Input!$H$57="Monthly",Input!$J$57,""))),"")</f>
        <v/>
      </c>
      <c r="N66" s="6" t="str">
        <f>IF(B66&lt;&gt;"",IF(AND(Input!$H$58="Annual",MOD(B66,12)=0),Input!$J$58,IF(AND(Input!$H$58="1st Installment",B66=1),Input!$J$58,IF(Input!$H$58="Monthly",Input!$J$58,IF(AND(Input!$H$58="End of the loan",B66=Input!$E$58),Input!$J$58,"")))),"")</f>
        <v/>
      </c>
      <c r="O66" s="6">
        <f t="shared" si="0"/>
        <v>0</v>
      </c>
      <c r="P66" s="4">
        <f t="shared" si="1"/>
        <v>4163.8335089885131</v>
      </c>
      <c r="T66" s="9">
        <f t="shared" si="2"/>
        <v>46047</v>
      </c>
      <c r="U66" s="5">
        <f t="shared" si="5"/>
        <v>4163.83</v>
      </c>
    </row>
    <row r="67" spans="2:21">
      <c r="B67" s="16">
        <f t="shared" si="6"/>
        <v>50</v>
      </c>
      <c r="C67" s="9">
        <f t="shared" si="7"/>
        <v>46078</v>
      </c>
      <c r="D67" s="6">
        <f>IFERROR((PPMT(Input!$E$55/12,B67,$C$6,Input!$E$54,-Input!$E$65,0))," ")</f>
        <v>-1349.7148221878451</v>
      </c>
      <c r="E67" s="6">
        <f>IFERROR(((IPMT(Input!$E$55/12,B67,$C$6,Input!$E$54,-Input!$E$65,0)))," ")</f>
        <v>-2814.1186868006685</v>
      </c>
      <c r="F67" s="6">
        <f t="shared" si="9"/>
        <v>-64352.938583548566</v>
      </c>
      <c r="G67" s="6">
        <f t="shared" si="8"/>
        <v>-143838.73686587712</v>
      </c>
      <c r="H67" s="6">
        <f t="shared" si="3"/>
        <v>-4163.8335089885131</v>
      </c>
      <c r="I67" s="6">
        <f t="shared" si="4"/>
        <v>1435647.0614164514</v>
      </c>
      <c r="J67" s="6" t="str">
        <f>IF(B67&lt;&gt;"",IF(AND(Input!$H$54="Annual",MOD(B67,12)=0),Input!$J$54,IF(AND(Input!$H$54="1st Installment",B67=1),Input!$J$54,IF(Input!$H$54="Monthly",Input!$J$54,""))),"")</f>
        <v/>
      </c>
      <c r="K67" s="6">
        <f>IF(B67&lt;&gt;"",IF(AND(Input!$H$55="Annual",MOD(B67,12)=0),Input!$J$55,IF(AND(Input!$H$55="1st Installment",B67=1),Input!$J$55,IF(Input!$H$55="Monthly",Input!$J$55,""))),"")</f>
        <v>0</v>
      </c>
      <c r="L67" s="6" t="str">
        <f>IF(B67&lt;&gt;"",IF(AND(Input!$H$56="Annual",MOD(B67,12)=0),Input!$J$56,IF(AND(Input!$H$56="1st Installment",B67=1),Input!$J$56,IF(Input!$H$56="Monthly",Input!$J$56,""))),"")</f>
        <v/>
      </c>
      <c r="M67" s="6" t="str">
        <f>IF(B67&lt;&gt;"",IF(AND(Input!$H$57="Annual",MOD(B67,12)=0),Input!$J$57,IF(AND(Input!$H$57="1st Installment",B67=1),Input!$J$57,IF(Input!$H$57="Monthly",Input!$J$57,""))),"")</f>
        <v/>
      </c>
      <c r="N67" s="6" t="str">
        <f>IF(B67&lt;&gt;"",IF(AND(Input!$H$58="Annual",MOD(B67,12)=0),Input!$J$58,IF(AND(Input!$H$58="1st Installment",B67=1),Input!$J$58,IF(Input!$H$58="Monthly",Input!$J$58,IF(AND(Input!$H$58="End of the loan",B67=Input!$E$58),Input!$J$58,"")))),"")</f>
        <v/>
      </c>
      <c r="O67" s="6">
        <f t="shared" si="0"/>
        <v>0</v>
      </c>
      <c r="P67" s="4">
        <f t="shared" si="1"/>
        <v>4163.8335089885131</v>
      </c>
      <c r="T67" s="9">
        <f t="shared" si="2"/>
        <v>46078</v>
      </c>
      <c r="U67" s="5">
        <f t="shared" si="5"/>
        <v>4163.83</v>
      </c>
    </row>
    <row r="68" spans="2:21">
      <c r="B68" s="16">
        <f t="shared" si="6"/>
        <v>51</v>
      </c>
      <c r="C68" s="9">
        <f t="shared" si="7"/>
        <v>46106</v>
      </c>
      <c r="D68" s="6">
        <f>IFERROR((PPMT(Input!$E$55/12,B68,$C$6,Input!$E$54,-Input!$E$65,0))," ")</f>
        <v>-1352.3580137146296</v>
      </c>
      <c r="E68" s="6">
        <f>IFERROR(((IPMT(Input!$E$55/12,B68,$C$6,Input!$E$54,-Input!$E$65,0)))," ")</f>
        <v>-2811.475495273884</v>
      </c>
      <c r="F68" s="6">
        <f t="shared" si="9"/>
        <v>-65705.296597263194</v>
      </c>
      <c r="G68" s="6">
        <f t="shared" si="8"/>
        <v>-146650.212361151</v>
      </c>
      <c r="H68" s="6">
        <f t="shared" si="3"/>
        <v>-4163.8335089885131</v>
      </c>
      <c r="I68" s="6">
        <f t="shared" si="4"/>
        <v>1434294.7034027367</v>
      </c>
      <c r="J68" s="6" t="str">
        <f>IF(B68&lt;&gt;"",IF(AND(Input!$H$54="Annual",MOD(B68,12)=0),Input!$J$54,IF(AND(Input!$H$54="1st Installment",B68=1),Input!$J$54,IF(Input!$H$54="Monthly",Input!$J$54,""))),"")</f>
        <v/>
      </c>
      <c r="K68" s="6">
        <f>IF(B68&lt;&gt;"",IF(AND(Input!$H$55="Annual",MOD(B68,12)=0),Input!$J$55,IF(AND(Input!$H$55="1st Installment",B68=1),Input!$J$55,IF(Input!$H$55="Monthly",Input!$J$55,""))),"")</f>
        <v>0</v>
      </c>
      <c r="L68" s="6" t="str">
        <f>IF(B68&lt;&gt;"",IF(AND(Input!$H$56="Annual",MOD(B68,12)=0),Input!$J$56,IF(AND(Input!$H$56="1st Installment",B68=1),Input!$J$56,IF(Input!$H$56="Monthly",Input!$J$56,""))),"")</f>
        <v/>
      </c>
      <c r="M68" s="6" t="str">
        <f>IF(B68&lt;&gt;"",IF(AND(Input!$H$57="Annual",MOD(B68,12)=0),Input!$J$57,IF(AND(Input!$H$57="1st Installment",B68=1),Input!$J$57,IF(Input!$H$57="Monthly",Input!$J$57,""))),"")</f>
        <v/>
      </c>
      <c r="N68" s="6" t="str">
        <f>IF(B68&lt;&gt;"",IF(AND(Input!$H$58="Annual",MOD(B68,12)=0),Input!$J$58,IF(AND(Input!$H$58="1st Installment",B68=1),Input!$J$58,IF(Input!$H$58="Monthly",Input!$J$58,IF(AND(Input!$H$58="End of the loan",B68=Input!$E$58),Input!$J$58,"")))),"")</f>
        <v/>
      </c>
      <c r="O68" s="6">
        <f t="shared" si="0"/>
        <v>0</v>
      </c>
      <c r="P68" s="4">
        <f t="shared" si="1"/>
        <v>4163.8335089885131</v>
      </c>
      <c r="T68" s="9">
        <f t="shared" si="2"/>
        <v>46106</v>
      </c>
      <c r="U68" s="5">
        <f t="shared" si="5"/>
        <v>4163.83</v>
      </c>
    </row>
    <row r="69" spans="2:21">
      <c r="B69" s="16">
        <f t="shared" si="6"/>
        <v>52</v>
      </c>
      <c r="C69" s="9">
        <f t="shared" si="7"/>
        <v>46137</v>
      </c>
      <c r="D69" s="6">
        <f>IFERROR((PPMT(Input!$E$55/12,B69,$C$6,Input!$E$54,-Input!$E$65,0))," ")</f>
        <v>-1355.0063814914874</v>
      </c>
      <c r="E69" s="6">
        <f>IFERROR(((IPMT(Input!$E$55/12,B69,$C$6,Input!$E$54,-Input!$E$65,0)))," ")</f>
        <v>-2808.8271274970261</v>
      </c>
      <c r="F69" s="6">
        <f t="shared" si="9"/>
        <v>-67060.302978754684</v>
      </c>
      <c r="G69" s="6">
        <f t="shared" si="8"/>
        <v>-149459.03948864804</v>
      </c>
      <c r="H69" s="6">
        <f t="shared" si="3"/>
        <v>-4163.8335089885131</v>
      </c>
      <c r="I69" s="6">
        <f t="shared" si="4"/>
        <v>1432939.6970212453</v>
      </c>
      <c r="J69" s="6" t="str">
        <f>IF(B69&lt;&gt;"",IF(AND(Input!$H$54="Annual",MOD(B69,12)=0),Input!$J$54,IF(AND(Input!$H$54="1st Installment",B69=1),Input!$J$54,IF(Input!$H$54="Monthly",Input!$J$54,""))),"")</f>
        <v/>
      </c>
      <c r="K69" s="6">
        <f>IF(B69&lt;&gt;"",IF(AND(Input!$H$55="Annual",MOD(B69,12)=0),Input!$J$55,IF(AND(Input!$H$55="1st Installment",B69=1),Input!$J$55,IF(Input!$H$55="Monthly",Input!$J$55,""))),"")</f>
        <v>0</v>
      </c>
      <c r="L69" s="6" t="str">
        <f>IF(B69&lt;&gt;"",IF(AND(Input!$H$56="Annual",MOD(B69,12)=0),Input!$J$56,IF(AND(Input!$H$56="1st Installment",B69=1),Input!$J$56,IF(Input!$H$56="Monthly",Input!$J$56,""))),"")</f>
        <v/>
      </c>
      <c r="M69" s="6" t="str">
        <f>IF(B69&lt;&gt;"",IF(AND(Input!$H$57="Annual",MOD(B69,12)=0),Input!$J$57,IF(AND(Input!$H$57="1st Installment",B69=1),Input!$J$57,IF(Input!$H$57="Monthly",Input!$J$57,""))),"")</f>
        <v/>
      </c>
      <c r="N69" s="6" t="str">
        <f>IF(B69&lt;&gt;"",IF(AND(Input!$H$58="Annual",MOD(B69,12)=0),Input!$J$58,IF(AND(Input!$H$58="1st Installment",B69=1),Input!$J$58,IF(Input!$H$58="Monthly",Input!$J$58,IF(AND(Input!$H$58="End of the loan",B69=Input!$E$58),Input!$J$58,"")))),"")</f>
        <v/>
      </c>
      <c r="O69" s="6">
        <f t="shared" si="0"/>
        <v>0</v>
      </c>
      <c r="P69" s="4">
        <f t="shared" si="1"/>
        <v>4163.8335089885131</v>
      </c>
      <c r="T69" s="9">
        <f t="shared" si="2"/>
        <v>46137</v>
      </c>
      <c r="U69" s="5">
        <f t="shared" si="5"/>
        <v>4163.83</v>
      </c>
    </row>
    <row r="70" spans="2:21">
      <c r="B70" s="16">
        <f t="shared" si="6"/>
        <v>53</v>
      </c>
      <c r="C70" s="9">
        <f t="shared" si="7"/>
        <v>46167</v>
      </c>
      <c r="D70" s="6">
        <f>IFERROR((PPMT(Input!$E$55/12,B70,$C$6,Input!$E$54,-Input!$E$65,0))," ")</f>
        <v>-1357.6599356552415</v>
      </c>
      <c r="E70" s="6">
        <f>IFERROR(((IPMT(Input!$E$55/12,B70,$C$6,Input!$E$54,-Input!$E$65,0)))," ")</f>
        <v>-2806.1735733332721</v>
      </c>
      <c r="F70" s="6">
        <f t="shared" si="9"/>
        <v>-68417.962914409931</v>
      </c>
      <c r="G70" s="6">
        <f t="shared" si="8"/>
        <v>-152265.21306198131</v>
      </c>
      <c r="H70" s="6">
        <f t="shared" si="3"/>
        <v>-4163.8335089885131</v>
      </c>
      <c r="I70" s="6">
        <f t="shared" si="4"/>
        <v>1431582.03708559</v>
      </c>
      <c r="J70" s="6" t="str">
        <f>IF(B70&lt;&gt;"",IF(AND(Input!$H$54="Annual",MOD(B70,12)=0),Input!$J$54,IF(AND(Input!$H$54="1st Installment",B70=1),Input!$J$54,IF(Input!$H$54="Monthly",Input!$J$54,""))),"")</f>
        <v/>
      </c>
      <c r="K70" s="6">
        <f>IF(B70&lt;&gt;"",IF(AND(Input!$H$55="Annual",MOD(B70,12)=0),Input!$J$55,IF(AND(Input!$H$55="1st Installment",B70=1),Input!$J$55,IF(Input!$H$55="Monthly",Input!$J$55,""))),"")</f>
        <v>0</v>
      </c>
      <c r="L70" s="6" t="str">
        <f>IF(B70&lt;&gt;"",IF(AND(Input!$H$56="Annual",MOD(B70,12)=0),Input!$J$56,IF(AND(Input!$H$56="1st Installment",B70=1),Input!$J$56,IF(Input!$H$56="Monthly",Input!$J$56,""))),"")</f>
        <v/>
      </c>
      <c r="M70" s="6" t="str">
        <f>IF(B70&lt;&gt;"",IF(AND(Input!$H$57="Annual",MOD(B70,12)=0),Input!$J$57,IF(AND(Input!$H$57="1st Installment",B70=1),Input!$J$57,IF(Input!$H$57="Monthly",Input!$J$57,""))),"")</f>
        <v/>
      </c>
      <c r="N70" s="6" t="str">
        <f>IF(B70&lt;&gt;"",IF(AND(Input!$H$58="Annual",MOD(B70,12)=0),Input!$J$58,IF(AND(Input!$H$58="1st Installment",B70=1),Input!$J$58,IF(Input!$H$58="Monthly",Input!$J$58,IF(AND(Input!$H$58="End of the loan",B70=Input!$E$58),Input!$J$58,"")))),"")</f>
        <v/>
      </c>
      <c r="O70" s="6">
        <f t="shared" si="0"/>
        <v>0</v>
      </c>
      <c r="P70" s="4">
        <f t="shared" si="1"/>
        <v>4163.8335089885131</v>
      </c>
      <c r="T70" s="9">
        <f t="shared" si="2"/>
        <v>46167</v>
      </c>
      <c r="U70" s="5">
        <f t="shared" si="5"/>
        <v>4163.83</v>
      </c>
    </row>
    <row r="71" spans="2:21">
      <c r="B71" s="16">
        <f t="shared" si="6"/>
        <v>54</v>
      </c>
      <c r="C71" s="9">
        <f t="shared" si="7"/>
        <v>46198</v>
      </c>
      <c r="D71" s="6">
        <f>IFERROR((PPMT(Input!$E$55/12,B71,$C$6,Input!$E$54,-Input!$E$65,0))," ")</f>
        <v>-1360.3186863625665</v>
      </c>
      <c r="E71" s="6">
        <f>IFERROR(((IPMT(Input!$E$55/12,B71,$C$6,Input!$E$54,-Input!$E$65,0)))," ")</f>
        <v>-2803.5148226259471</v>
      </c>
      <c r="F71" s="6">
        <f t="shared" si="9"/>
        <v>-69778.28160077249</v>
      </c>
      <c r="G71" s="6">
        <f t="shared" si="8"/>
        <v>-155068.72788460724</v>
      </c>
      <c r="H71" s="6">
        <f t="shared" si="3"/>
        <v>-4163.8335089885131</v>
      </c>
      <c r="I71" s="6">
        <f t="shared" si="4"/>
        <v>1430221.7183992276</v>
      </c>
      <c r="J71" s="6" t="str">
        <f>IF(B71&lt;&gt;"",IF(AND(Input!$H$54="Annual",MOD(B71,12)=0),Input!$J$54,IF(AND(Input!$H$54="1st Installment",B71=1),Input!$J$54,IF(Input!$H$54="Monthly",Input!$J$54,""))),"")</f>
        <v/>
      </c>
      <c r="K71" s="6">
        <f>IF(B71&lt;&gt;"",IF(AND(Input!$H$55="Annual",MOD(B71,12)=0),Input!$J$55,IF(AND(Input!$H$55="1st Installment",B71=1),Input!$J$55,IF(Input!$H$55="Monthly",Input!$J$55,""))),"")</f>
        <v>0</v>
      </c>
      <c r="L71" s="6" t="str">
        <f>IF(B71&lt;&gt;"",IF(AND(Input!$H$56="Annual",MOD(B71,12)=0),Input!$J$56,IF(AND(Input!$H$56="1st Installment",B71=1),Input!$J$56,IF(Input!$H$56="Monthly",Input!$J$56,""))),"")</f>
        <v/>
      </c>
      <c r="M71" s="6" t="str">
        <f>IF(B71&lt;&gt;"",IF(AND(Input!$H$57="Annual",MOD(B71,12)=0),Input!$J$57,IF(AND(Input!$H$57="1st Installment",B71=1),Input!$J$57,IF(Input!$H$57="Monthly",Input!$J$57,""))),"")</f>
        <v/>
      </c>
      <c r="N71" s="6" t="str">
        <f>IF(B71&lt;&gt;"",IF(AND(Input!$H$58="Annual",MOD(B71,12)=0),Input!$J$58,IF(AND(Input!$H$58="1st Installment",B71=1),Input!$J$58,IF(Input!$H$58="Monthly",Input!$J$58,IF(AND(Input!$H$58="End of the loan",B71=Input!$E$58),Input!$J$58,"")))),"")</f>
        <v/>
      </c>
      <c r="O71" s="6">
        <f t="shared" si="0"/>
        <v>0</v>
      </c>
      <c r="P71" s="4">
        <f t="shared" si="1"/>
        <v>4163.8335089885131</v>
      </c>
      <c r="T71" s="9">
        <f t="shared" si="2"/>
        <v>46198</v>
      </c>
      <c r="U71" s="5">
        <f t="shared" si="5"/>
        <v>4163.83</v>
      </c>
    </row>
    <row r="72" spans="2:21">
      <c r="B72" s="16">
        <f t="shared" si="6"/>
        <v>55</v>
      </c>
      <c r="C72" s="9">
        <f t="shared" si="7"/>
        <v>46228</v>
      </c>
      <c r="D72" s="6">
        <f>IFERROR((PPMT(Input!$E$55/12,B72,$C$6,Input!$E$54,-Input!$E$65,0))," ")</f>
        <v>-1362.9826437900265</v>
      </c>
      <c r="E72" s="6">
        <f>IFERROR(((IPMT(Input!$E$55/12,B72,$C$6,Input!$E$54,-Input!$E$65,0)))," ")</f>
        <v>-2800.8508651984871</v>
      </c>
      <c r="F72" s="6">
        <f t="shared" si="9"/>
        <v>-71141.26424456251</v>
      </c>
      <c r="G72" s="6">
        <f t="shared" si="8"/>
        <v>-157869.57874980572</v>
      </c>
      <c r="H72" s="6">
        <f t="shared" si="3"/>
        <v>-4163.8335089885131</v>
      </c>
      <c r="I72" s="6">
        <f t="shared" si="4"/>
        <v>1428858.7357554375</v>
      </c>
      <c r="J72" s="6" t="str">
        <f>IF(B72&lt;&gt;"",IF(AND(Input!$H$54="Annual",MOD(B72,12)=0),Input!$J$54,IF(AND(Input!$H$54="1st Installment",B72=1),Input!$J$54,IF(Input!$H$54="Monthly",Input!$J$54,""))),"")</f>
        <v/>
      </c>
      <c r="K72" s="6">
        <f>IF(B72&lt;&gt;"",IF(AND(Input!$H$55="Annual",MOD(B72,12)=0),Input!$J$55,IF(AND(Input!$H$55="1st Installment",B72=1),Input!$J$55,IF(Input!$H$55="Monthly",Input!$J$55,""))),"")</f>
        <v>0</v>
      </c>
      <c r="L72" s="6" t="str">
        <f>IF(B72&lt;&gt;"",IF(AND(Input!$H$56="Annual",MOD(B72,12)=0),Input!$J$56,IF(AND(Input!$H$56="1st Installment",B72=1),Input!$J$56,IF(Input!$H$56="Monthly",Input!$J$56,""))),"")</f>
        <v/>
      </c>
      <c r="M72" s="6" t="str">
        <f>IF(B72&lt;&gt;"",IF(AND(Input!$H$57="Annual",MOD(B72,12)=0),Input!$J$57,IF(AND(Input!$H$57="1st Installment",B72=1),Input!$J$57,IF(Input!$H$57="Monthly",Input!$J$57,""))),"")</f>
        <v/>
      </c>
      <c r="N72" s="6" t="str">
        <f>IF(B72&lt;&gt;"",IF(AND(Input!$H$58="Annual",MOD(B72,12)=0),Input!$J$58,IF(AND(Input!$H$58="1st Installment",B72=1),Input!$J$58,IF(Input!$H$58="Monthly",Input!$J$58,IF(AND(Input!$H$58="End of the loan",B72=Input!$E$58),Input!$J$58,"")))),"")</f>
        <v/>
      </c>
      <c r="O72" s="6">
        <f t="shared" si="0"/>
        <v>0</v>
      </c>
      <c r="P72" s="4">
        <f t="shared" si="1"/>
        <v>4163.8335089885131</v>
      </c>
      <c r="T72" s="9">
        <f t="shared" si="2"/>
        <v>46228</v>
      </c>
      <c r="U72" s="5">
        <f t="shared" si="5"/>
        <v>4163.83</v>
      </c>
    </row>
    <row r="73" spans="2:21">
      <c r="B73" s="16">
        <f t="shared" si="6"/>
        <v>56</v>
      </c>
      <c r="C73" s="9">
        <f t="shared" si="7"/>
        <v>46259</v>
      </c>
      <c r="D73" s="6">
        <f>IFERROR((PPMT(Input!$E$55/12,B73,$C$6,Input!$E$54,-Input!$E$65,0))," ")</f>
        <v>-1365.6518181341155</v>
      </c>
      <c r="E73" s="6">
        <f>IFERROR(((IPMT(Input!$E$55/12,B73,$C$6,Input!$E$54,-Input!$E$65,0)))," ")</f>
        <v>-2798.1816908543983</v>
      </c>
      <c r="F73" s="6">
        <f t="shared" si="9"/>
        <v>-72506.916062696619</v>
      </c>
      <c r="G73" s="6">
        <f t="shared" si="8"/>
        <v>-160667.76044066012</v>
      </c>
      <c r="H73" s="6">
        <f t="shared" si="3"/>
        <v>-4163.833508988514</v>
      </c>
      <c r="I73" s="6">
        <f t="shared" si="4"/>
        <v>1427493.0839373034</v>
      </c>
      <c r="J73" s="6" t="str">
        <f>IF(B73&lt;&gt;"",IF(AND(Input!$H$54="Annual",MOD(B73,12)=0),Input!$J$54,IF(AND(Input!$H$54="1st Installment",B73=1),Input!$J$54,IF(Input!$H$54="Monthly",Input!$J$54,""))),"")</f>
        <v/>
      </c>
      <c r="K73" s="6">
        <f>IF(B73&lt;&gt;"",IF(AND(Input!$H$55="Annual",MOD(B73,12)=0),Input!$J$55,IF(AND(Input!$H$55="1st Installment",B73=1),Input!$J$55,IF(Input!$H$55="Monthly",Input!$J$55,""))),"")</f>
        <v>0</v>
      </c>
      <c r="L73" s="6" t="str">
        <f>IF(B73&lt;&gt;"",IF(AND(Input!$H$56="Annual",MOD(B73,12)=0),Input!$J$56,IF(AND(Input!$H$56="1st Installment",B73=1),Input!$J$56,IF(Input!$H$56="Monthly",Input!$J$56,""))),"")</f>
        <v/>
      </c>
      <c r="M73" s="6" t="str">
        <f>IF(B73&lt;&gt;"",IF(AND(Input!$H$57="Annual",MOD(B73,12)=0),Input!$J$57,IF(AND(Input!$H$57="1st Installment",B73=1),Input!$J$57,IF(Input!$H$57="Monthly",Input!$J$57,""))),"")</f>
        <v/>
      </c>
      <c r="N73" s="6" t="str">
        <f>IF(B73&lt;&gt;"",IF(AND(Input!$H$58="Annual",MOD(B73,12)=0),Input!$J$58,IF(AND(Input!$H$58="1st Installment",B73=1),Input!$J$58,IF(Input!$H$58="Monthly",Input!$J$58,IF(AND(Input!$H$58="End of the loan",B73=Input!$E$58),Input!$J$58,"")))),"")</f>
        <v/>
      </c>
      <c r="O73" s="6">
        <f t="shared" si="0"/>
        <v>0</v>
      </c>
      <c r="P73" s="4">
        <f t="shared" si="1"/>
        <v>4163.833508988514</v>
      </c>
      <c r="T73" s="9">
        <f t="shared" si="2"/>
        <v>46259</v>
      </c>
      <c r="U73" s="5">
        <f t="shared" si="5"/>
        <v>4163.83</v>
      </c>
    </row>
    <row r="74" spans="2:21">
      <c r="B74" s="16">
        <f t="shared" si="6"/>
        <v>57</v>
      </c>
      <c r="C74" s="9">
        <f t="shared" si="7"/>
        <v>46290</v>
      </c>
      <c r="D74" s="6">
        <f>IFERROR((PPMT(Input!$E$55/12,B74,$C$6,Input!$E$54,-Input!$E$65,0))," ")</f>
        <v>-1368.3262196112944</v>
      </c>
      <c r="E74" s="6">
        <f>IFERROR(((IPMT(Input!$E$55/12,B74,$C$6,Input!$E$54,-Input!$E$65,0)))," ")</f>
        <v>-2795.507289377219</v>
      </c>
      <c r="F74" s="6">
        <f t="shared" si="9"/>
        <v>-73875.242282307911</v>
      </c>
      <c r="G74" s="6">
        <f t="shared" si="8"/>
        <v>-163463.26773003733</v>
      </c>
      <c r="H74" s="6">
        <f t="shared" si="3"/>
        <v>-4163.8335089885131</v>
      </c>
      <c r="I74" s="6">
        <f t="shared" si="4"/>
        <v>1426124.7577176921</v>
      </c>
      <c r="J74" s="6" t="str">
        <f>IF(B74&lt;&gt;"",IF(AND(Input!$H$54="Annual",MOD(B74,12)=0),Input!$J$54,IF(AND(Input!$H$54="1st Installment",B74=1),Input!$J$54,IF(Input!$H$54="Monthly",Input!$J$54,""))),"")</f>
        <v/>
      </c>
      <c r="K74" s="6">
        <f>IF(B74&lt;&gt;"",IF(AND(Input!$H$55="Annual",MOD(B74,12)=0),Input!$J$55,IF(AND(Input!$H$55="1st Installment",B74=1),Input!$J$55,IF(Input!$H$55="Monthly",Input!$J$55,""))),"")</f>
        <v>0</v>
      </c>
      <c r="L74" s="6" t="str">
        <f>IF(B74&lt;&gt;"",IF(AND(Input!$H$56="Annual",MOD(B74,12)=0),Input!$J$56,IF(AND(Input!$H$56="1st Installment",B74=1),Input!$J$56,IF(Input!$H$56="Monthly",Input!$J$56,""))),"")</f>
        <v/>
      </c>
      <c r="M74" s="6" t="str">
        <f>IF(B74&lt;&gt;"",IF(AND(Input!$H$57="Annual",MOD(B74,12)=0),Input!$J$57,IF(AND(Input!$H$57="1st Installment",B74=1),Input!$J$57,IF(Input!$H$57="Monthly",Input!$J$57,""))),"")</f>
        <v/>
      </c>
      <c r="N74" s="6" t="str">
        <f>IF(B74&lt;&gt;"",IF(AND(Input!$H$58="Annual",MOD(B74,12)=0),Input!$J$58,IF(AND(Input!$H$58="1st Installment",B74=1),Input!$J$58,IF(Input!$H$58="Monthly",Input!$J$58,IF(AND(Input!$H$58="End of the loan",B74=Input!$E$58),Input!$J$58,"")))),"")</f>
        <v/>
      </c>
      <c r="O74" s="6">
        <f t="shared" si="0"/>
        <v>0</v>
      </c>
      <c r="P74" s="4">
        <f t="shared" si="1"/>
        <v>4163.8335089885131</v>
      </c>
      <c r="T74" s="9">
        <f t="shared" si="2"/>
        <v>46290</v>
      </c>
      <c r="U74" s="5">
        <f t="shared" si="5"/>
        <v>4163.83</v>
      </c>
    </row>
    <row r="75" spans="2:21">
      <c r="B75" s="16">
        <f t="shared" si="6"/>
        <v>58</v>
      </c>
      <c r="C75" s="9">
        <f t="shared" si="7"/>
        <v>46320</v>
      </c>
      <c r="D75" s="6">
        <f>IFERROR((PPMT(Input!$E$55/12,B75,$C$6,Input!$E$54,-Input!$E$65,0))," ")</f>
        <v>-1371.0058584580333</v>
      </c>
      <c r="E75" s="6">
        <f>IFERROR(((IPMT(Input!$E$55/12,B75,$C$6,Input!$E$54,-Input!$E$65,0)))," ")</f>
        <v>-2792.8276505304807</v>
      </c>
      <c r="F75" s="6">
        <f t="shared" si="9"/>
        <v>-75246.248140765951</v>
      </c>
      <c r="G75" s="6">
        <f t="shared" si="8"/>
        <v>-166256.0953805678</v>
      </c>
      <c r="H75" s="6">
        <f t="shared" si="3"/>
        <v>-4163.833508988514</v>
      </c>
      <c r="I75" s="6">
        <f t="shared" si="4"/>
        <v>1424753.7518592339</v>
      </c>
      <c r="J75" s="6" t="str">
        <f>IF(B75&lt;&gt;"",IF(AND(Input!$H$54="Annual",MOD(B75,12)=0),Input!$J$54,IF(AND(Input!$H$54="1st Installment",B75=1),Input!$J$54,IF(Input!$H$54="Monthly",Input!$J$54,""))),"")</f>
        <v/>
      </c>
      <c r="K75" s="6">
        <f>IF(B75&lt;&gt;"",IF(AND(Input!$H$55="Annual",MOD(B75,12)=0),Input!$J$55,IF(AND(Input!$H$55="1st Installment",B75=1),Input!$J$55,IF(Input!$H$55="Monthly",Input!$J$55,""))),"")</f>
        <v>0</v>
      </c>
      <c r="L75" s="6" t="str">
        <f>IF(B75&lt;&gt;"",IF(AND(Input!$H$56="Annual",MOD(B75,12)=0),Input!$J$56,IF(AND(Input!$H$56="1st Installment",B75=1),Input!$J$56,IF(Input!$H$56="Monthly",Input!$J$56,""))),"")</f>
        <v/>
      </c>
      <c r="M75" s="6" t="str">
        <f>IF(B75&lt;&gt;"",IF(AND(Input!$H$57="Annual",MOD(B75,12)=0),Input!$J$57,IF(AND(Input!$H$57="1st Installment",B75=1),Input!$J$57,IF(Input!$H$57="Monthly",Input!$J$57,""))),"")</f>
        <v/>
      </c>
      <c r="N75" s="6" t="str">
        <f>IF(B75&lt;&gt;"",IF(AND(Input!$H$58="Annual",MOD(B75,12)=0),Input!$J$58,IF(AND(Input!$H$58="1st Installment",B75=1),Input!$J$58,IF(Input!$H$58="Monthly",Input!$J$58,IF(AND(Input!$H$58="End of the loan",B75=Input!$E$58),Input!$J$58,"")))),"")</f>
        <v/>
      </c>
      <c r="O75" s="6">
        <f t="shared" si="0"/>
        <v>0</v>
      </c>
      <c r="P75" s="4">
        <f t="shared" si="1"/>
        <v>4163.833508988514</v>
      </c>
      <c r="T75" s="9">
        <f t="shared" si="2"/>
        <v>46320</v>
      </c>
      <c r="U75" s="5">
        <f t="shared" si="5"/>
        <v>4163.83</v>
      </c>
    </row>
    <row r="76" spans="2:21">
      <c r="B76" s="16">
        <f t="shared" si="6"/>
        <v>59</v>
      </c>
      <c r="C76" s="9">
        <f t="shared" si="7"/>
        <v>46351</v>
      </c>
      <c r="D76" s="6">
        <f>IFERROR((PPMT(Input!$E$55/12,B76,$C$6,Input!$E$54,-Input!$E$65,0))," ")</f>
        <v>-1373.6907449308469</v>
      </c>
      <c r="E76" s="6">
        <f>IFERROR(((IPMT(Input!$E$55/12,B76,$C$6,Input!$E$54,-Input!$E$65,0)))," ")</f>
        <v>-2790.1427640576667</v>
      </c>
      <c r="F76" s="6">
        <f t="shared" si="9"/>
        <v>-76619.9388856968</v>
      </c>
      <c r="G76" s="6">
        <f t="shared" si="8"/>
        <v>-169046.23814462547</v>
      </c>
      <c r="H76" s="6">
        <f t="shared" si="3"/>
        <v>-4163.8335089885131</v>
      </c>
      <c r="I76" s="6">
        <f t="shared" si="4"/>
        <v>1423380.0611143033</v>
      </c>
      <c r="J76" s="6" t="str">
        <f>IF(B76&lt;&gt;"",IF(AND(Input!$H$54="Annual",MOD(B76,12)=0),Input!$J$54,IF(AND(Input!$H$54="1st Installment",B76=1),Input!$J$54,IF(Input!$H$54="Monthly",Input!$J$54,""))),"")</f>
        <v/>
      </c>
      <c r="K76" s="6">
        <f>IF(B76&lt;&gt;"",IF(AND(Input!$H$55="Annual",MOD(B76,12)=0),Input!$J$55,IF(AND(Input!$H$55="1st Installment",B76=1),Input!$J$55,IF(Input!$H$55="Monthly",Input!$J$55,""))),"")</f>
        <v>0</v>
      </c>
      <c r="L76" s="6" t="str">
        <f>IF(B76&lt;&gt;"",IF(AND(Input!$H$56="Annual",MOD(B76,12)=0),Input!$J$56,IF(AND(Input!$H$56="1st Installment",B76=1),Input!$J$56,IF(Input!$H$56="Monthly",Input!$J$56,""))),"")</f>
        <v/>
      </c>
      <c r="M76" s="6" t="str">
        <f>IF(B76&lt;&gt;"",IF(AND(Input!$H$57="Annual",MOD(B76,12)=0),Input!$J$57,IF(AND(Input!$H$57="1st Installment",B76=1),Input!$J$57,IF(Input!$H$57="Monthly",Input!$J$57,""))),"")</f>
        <v/>
      </c>
      <c r="N76" s="6" t="str">
        <f>IF(B76&lt;&gt;"",IF(AND(Input!$H$58="Annual",MOD(B76,12)=0),Input!$J$58,IF(AND(Input!$H$58="1st Installment",B76=1),Input!$J$58,IF(Input!$H$58="Monthly",Input!$J$58,IF(AND(Input!$H$58="End of the loan",B76=Input!$E$58),Input!$J$58,"")))),"")</f>
        <v/>
      </c>
      <c r="O76" s="6">
        <f t="shared" si="0"/>
        <v>0</v>
      </c>
      <c r="P76" s="4">
        <f t="shared" si="1"/>
        <v>4163.8335089885131</v>
      </c>
      <c r="T76" s="9">
        <f t="shared" si="2"/>
        <v>46351</v>
      </c>
      <c r="U76" s="5">
        <f t="shared" si="5"/>
        <v>4163.83</v>
      </c>
    </row>
    <row r="77" spans="2:21">
      <c r="B77" s="16">
        <f t="shared" si="6"/>
        <v>60</v>
      </c>
      <c r="C77" s="9">
        <f t="shared" si="7"/>
        <v>46381</v>
      </c>
      <c r="D77" s="6">
        <f>IFERROR((PPMT(Input!$E$55/12,B77,$C$6,Input!$E$54,-Input!$E$65,0))," ")</f>
        <v>-1376.3808893063365</v>
      </c>
      <c r="E77" s="6">
        <f>IFERROR(((IPMT(Input!$E$55/12,B77,$C$6,Input!$E$54,-Input!$E$65,0)))," ")</f>
        <v>-2787.4526196821771</v>
      </c>
      <c r="F77" s="6">
        <f t="shared" si="9"/>
        <v>-77996.31977500314</v>
      </c>
      <c r="G77" s="6">
        <f t="shared" si="8"/>
        <v>-171833.69076430766</v>
      </c>
      <c r="H77" s="6">
        <f t="shared" si="3"/>
        <v>-4163.8335089885131</v>
      </c>
      <c r="I77" s="6">
        <f t="shared" si="4"/>
        <v>1422003.6802249968</v>
      </c>
      <c r="J77" s="6" t="str">
        <f>IF(B77&lt;&gt;"",IF(AND(Input!$H$54="Annual",MOD(B77,12)=0),Input!$J$54,IF(AND(Input!$H$54="1st Installment",B77=1),Input!$J$54,IF(Input!$H$54="Monthly",Input!$J$54,""))),"")</f>
        <v/>
      </c>
      <c r="K77" s="6">
        <f>IF(B77&lt;&gt;"",IF(AND(Input!$H$55="Annual",MOD(B77,12)=0),Input!$J$55,IF(AND(Input!$H$55="1st Installment",B77=1),Input!$J$55,IF(Input!$H$55="Monthly",Input!$J$55,""))),"")</f>
        <v>0</v>
      </c>
      <c r="L77" s="6" t="str">
        <f>IF(B77&lt;&gt;"",IF(AND(Input!$H$56="Annual",MOD(B77,12)=0),Input!$J$56,IF(AND(Input!$H$56="1st Installment",B77=1),Input!$J$56,IF(Input!$H$56="Monthly",Input!$J$56,""))),"")</f>
        <v/>
      </c>
      <c r="M77" s="6" t="str">
        <f>IF(B77&lt;&gt;"",IF(AND(Input!$H$57="Annual",MOD(B77,12)=0),Input!$J$57,IF(AND(Input!$H$57="1st Installment",B77=1),Input!$J$57,IF(Input!$H$57="Monthly",Input!$J$57,""))),"")</f>
        <v/>
      </c>
      <c r="N77" s="6" t="str">
        <f>IF(B77&lt;&gt;"",IF(AND(Input!$H$58="Annual",MOD(B77,12)=0),Input!$J$58,IF(AND(Input!$H$58="1st Installment",B77=1),Input!$J$58,IF(Input!$H$58="Monthly",Input!$J$58,IF(AND(Input!$H$58="End of the loan",B77=Input!$E$58),Input!$J$58,"")))),"")</f>
        <v/>
      </c>
      <c r="O77" s="6">
        <f t="shared" si="0"/>
        <v>0</v>
      </c>
      <c r="P77" s="4">
        <f t="shared" si="1"/>
        <v>4163.8335089885131</v>
      </c>
      <c r="T77" s="9">
        <f t="shared" si="2"/>
        <v>46381</v>
      </c>
      <c r="U77" s="5">
        <f t="shared" si="5"/>
        <v>4163.83</v>
      </c>
    </row>
    <row r="78" spans="2:21">
      <c r="B78" s="16">
        <f t="shared" si="6"/>
        <v>61</v>
      </c>
      <c r="C78" s="9">
        <f t="shared" si="7"/>
        <v>46412</v>
      </c>
      <c r="D78" s="6">
        <f>IFERROR((PPMT(Input!$E$55/12,B78,$C$6,Input!$E$54,-Input!$E$65,0))," ")</f>
        <v>-1379.0763018812281</v>
      </c>
      <c r="E78" s="6">
        <f>IFERROR(((IPMT(Input!$E$55/12,B78,$C$6,Input!$E$54,-Input!$E$65,0)))," ")</f>
        <v>-2784.7572071072855</v>
      </c>
      <c r="F78" s="6">
        <f t="shared" si="9"/>
        <v>-79375.396076884368</v>
      </c>
      <c r="G78" s="6">
        <f t="shared" si="8"/>
        <v>-174618.44797141495</v>
      </c>
      <c r="H78" s="6">
        <f t="shared" si="3"/>
        <v>-4163.8335089885131</v>
      </c>
      <c r="I78" s="6">
        <f t="shared" si="4"/>
        <v>1420624.6039231156</v>
      </c>
      <c r="J78" s="6" t="str">
        <f>IF(B78&lt;&gt;"",IF(AND(Input!$H$54="Annual",MOD(B78,12)=0),Input!$J$54,IF(AND(Input!$H$54="1st Installment",B78=1),Input!$J$54,IF(Input!$H$54="Monthly",Input!$J$54,""))),"")</f>
        <v/>
      </c>
      <c r="K78" s="6">
        <f>IF(B78&lt;&gt;"",IF(AND(Input!$H$55="Annual",MOD(B78,12)=0),Input!$J$55,IF(AND(Input!$H$55="1st Installment",B78=1),Input!$J$55,IF(Input!$H$55="Monthly",Input!$J$55,""))),"")</f>
        <v>0</v>
      </c>
      <c r="L78" s="6" t="str">
        <f>IF(B78&lt;&gt;"",IF(AND(Input!$H$56="Annual",MOD(B78,12)=0),Input!$J$56,IF(AND(Input!$H$56="1st Installment",B78=1),Input!$J$56,IF(Input!$H$56="Monthly",Input!$J$56,""))),"")</f>
        <v/>
      </c>
      <c r="M78" s="6" t="str">
        <f>IF(B78&lt;&gt;"",IF(AND(Input!$H$57="Annual",MOD(B78,12)=0),Input!$J$57,IF(AND(Input!$H$57="1st Installment",B78=1),Input!$J$57,IF(Input!$H$57="Monthly",Input!$J$57,""))),"")</f>
        <v/>
      </c>
      <c r="N78" s="6" t="str">
        <f>IF(B78&lt;&gt;"",IF(AND(Input!$H$58="Annual",MOD(B78,12)=0),Input!$J$58,IF(AND(Input!$H$58="1st Installment",B78=1),Input!$J$58,IF(Input!$H$58="Monthly",Input!$J$58,IF(AND(Input!$H$58="End of the loan",B78=Input!$E$58),Input!$J$58,"")))),"")</f>
        <v/>
      </c>
      <c r="O78" s="6">
        <f t="shared" si="0"/>
        <v>0</v>
      </c>
      <c r="P78" s="4">
        <f t="shared" si="1"/>
        <v>4163.8335089885131</v>
      </c>
      <c r="T78" s="9">
        <f t="shared" si="2"/>
        <v>46412</v>
      </c>
      <c r="U78" s="5">
        <f t="shared" si="5"/>
        <v>4163.83</v>
      </c>
    </row>
    <row r="79" spans="2:21">
      <c r="B79" s="16">
        <f t="shared" si="6"/>
        <v>62</v>
      </c>
      <c r="C79" s="9">
        <f t="shared" si="7"/>
        <v>46443</v>
      </c>
      <c r="D79" s="6">
        <f>IFERROR((PPMT(Input!$E$55/12,B79,$C$6,Input!$E$54,-Input!$E$65,0))," ")</f>
        <v>-1381.7769929724122</v>
      </c>
      <c r="E79" s="6">
        <f>IFERROR(((IPMT(Input!$E$55/12,B79,$C$6,Input!$E$54,-Input!$E$65,0)))," ")</f>
        <v>-2782.0565160161013</v>
      </c>
      <c r="F79" s="6">
        <f t="shared" si="9"/>
        <v>-80757.173069856784</v>
      </c>
      <c r="G79" s="6">
        <f t="shared" si="8"/>
        <v>-177400.50448743106</v>
      </c>
      <c r="H79" s="6">
        <f t="shared" si="3"/>
        <v>-4163.8335089885131</v>
      </c>
      <c r="I79" s="6">
        <f t="shared" si="4"/>
        <v>1419242.8269301432</v>
      </c>
      <c r="J79" s="6" t="str">
        <f>IF(B79&lt;&gt;"",IF(AND(Input!$H$54="Annual",MOD(B79,12)=0),Input!$J$54,IF(AND(Input!$H$54="1st Installment",B79=1),Input!$J$54,IF(Input!$H$54="Monthly",Input!$J$54,""))),"")</f>
        <v/>
      </c>
      <c r="K79" s="6">
        <f>IF(B79&lt;&gt;"",IF(AND(Input!$H$55="Annual",MOD(B79,12)=0),Input!$J$55,IF(AND(Input!$H$55="1st Installment",B79=1),Input!$J$55,IF(Input!$H$55="Monthly",Input!$J$55,""))),"")</f>
        <v>0</v>
      </c>
      <c r="L79" s="6" t="str">
        <f>IF(B79&lt;&gt;"",IF(AND(Input!$H$56="Annual",MOD(B79,12)=0),Input!$J$56,IF(AND(Input!$H$56="1st Installment",B79=1),Input!$J$56,IF(Input!$H$56="Monthly",Input!$J$56,""))),"")</f>
        <v/>
      </c>
      <c r="M79" s="6" t="str">
        <f>IF(B79&lt;&gt;"",IF(AND(Input!$H$57="Annual",MOD(B79,12)=0),Input!$J$57,IF(AND(Input!$H$57="1st Installment",B79=1),Input!$J$57,IF(Input!$H$57="Monthly",Input!$J$57,""))),"")</f>
        <v/>
      </c>
      <c r="N79" s="6" t="str">
        <f>IF(B79&lt;&gt;"",IF(AND(Input!$H$58="Annual",MOD(B79,12)=0),Input!$J$58,IF(AND(Input!$H$58="1st Installment",B79=1),Input!$J$58,IF(Input!$H$58="Monthly",Input!$J$58,IF(AND(Input!$H$58="End of the loan",B79=Input!$E$58),Input!$J$58,"")))),"")</f>
        <v/>
      </c>
      <c r="O79" s="6">
        <f t="shared" si="0"/>
        <v>0</v>
      </c>
      <c r="P79" s="4">
        <f t="shared" si="1"/>
        <v>4163.8335089885131</v>
      </c>
      <c r="T79" s="9">
        <f t="shared" si="2"/>
        <v>46443</v>
      </c>
      <c r="U79" s="5">
        <f t="shared" si="5"/>
        <v>4163.83</v>
      </c>
    </row>
    <row r="80" spans="2:21">
      <c r="B80" s="16">
        <f t="shared" si="6"/>
        <v>63</v>
      </c>
      <c r="C80" s="9">
        <f t="shared" si="7"/>
        <v>46471</v>
      </c>
      <c r="D80" s="6">
        <f>IFERROR((PPMT(Input!$E$55/12,B80,$C$6,Input!$E$54,-Input!$E$65,0))," ")</f>
        <v>-1384.4829729169833</v>
      </c>
      <c r="E80" s="6">
        <f>IFERROR(((IPMT(Input!$E$55/12,B80,$C$6,Input!$E$54,-Input!$E$65,0)))," ")</f>
        <v>-2779.3505360715308</v>
      </c>
      <c r="F80" s="6">
        <f t="shared" si="9"/>
        <v>-82141.656042773771</v>
      </c>
      <c r="G80" s="6">
        <f t="shared" si="8"/>
        <v>-180179.85502350258</v>
      </c>
      <c r="H80" s="6">
        <f t="shared" si="3"/>
        <v>-4163.833508988514</v>
      </c>
      <c r="I80" s="6">
        <f t="shared" si="4"/>
        <v>1417858.3439572263</v>
      </c>
      <c r="J80" s="6" t="str">
        <f>IF(B80&lt;&gt;"",IF(AND(Input!$H$54="Annual",MOD(B80,12)=0),Input!$J$54,IF(AND(Input!$H$54="1st Installment",B80=1),Input!$J$54,IF(Input!$H$54="Monthly",Input!$J$54,""))),"")</f>
        <v/>
      </c>
      <c r="K80" s="6">
        <f>IF(B80&lt;&gt;"",IF(AND(Input!$H$55="Annual",MOD(B80,12)=0),Input!$J$55,IF(AND(Input!$H$55="1st Installment",B80=1),Input!$J$55,IF(Input!$H$55="Monthly",Input!$J$55,""))),"")</f>
        <v>0</v>
      </c>
      <c r="L80" s="6" t="str">
        <f>IF(B80&lt;&gt;"",IF(AND(Input!$H$56="Annual",MOD(B80,12)=0),Input!$J$56,IF(AND(Input!$H$56="1st Installment",B80=1),Input!$J$56,IF(Input!$H$56="Monthly",Input!$J$56,""))),"")</f>
        <v/>
      </c>
      <c r="M80" s="6" t="str">
        <f>IF(B80&lt;&gt;"",IF(AND(Input!$H$57="Annual",MOD(B80,12)=0),Input!$J$57,IF(AND(Input!$H$57="1st Installment",B80=1),Input!$J$57,IF(Input!$H$57="Monthly",Input!$J$57,""))),"")</f>
        <v/>
      </c>
      <c r="N80" s="6" t="str">
        <f>IF(B80&lt;&gt;"",IF(AND(Input!$H$58="Annual",MOD(B80,12)=0),Input!$J$58,IF(AND(Input!$H$58="1st Installment",B80=1),Input!$J$58,IF(Input!$H$58="Monthly",Input!$J$58,IF(AND(Input!$H$58="End of the loan",B80=Input!$E$58),Input!$J$58,"")))),"")</f>
        <v/>
      </c>
      <c r="O80" s="6">
        <f t="shared" si="0"/>
        <v>0</v>
      </c>
      <c r="P80" s="4">
        <f t="shared" si="1"/>
        <v>4163.833508988514</v>
      </c>
      <c r="T80" s="9">
        <f t="shared" si="2"/>
        <v>46471</v>
      </c>
      <c r="U80" s="5">
        <f t="shared" si="5"/>
        <v>4163.83</v>
      </c>
    </row>
    <row r="81" spans="2:21">
      <c r="B81" s="16">
        <f t="shared" si="6"/>
        <v>64</v>
      </c>
      <c r="C81" s="9">
        <f t="shared" si="7"/>
        <v>46502</v>
      </c>
      <c r="D81" s="6">
        <f>IFERROR((PPMT(Input!$E$55/12,B81,$C$6,Input!$E$54,-Input!$E$65,0))," ")</f>
        <v>-1387.1942520722791</v>
      </c>
      <c r="E81" s="6">
        <f>IFERROR(((IPMT(Input!$E$55/12,B81,$C$6,Input!$E$54,-Input!$E$65,0)))," ")</f>
        <v>-2776.6392569162344</v>
      </c>
      <c r="F81" s="6">
        <f t="shared" si="9"/>
        <v>-83528.850294846052</v>
      </c>
      <c r="G81" s="6">
        <f t="shared" si="8"/>
        <v>-182956.49428041882</v>
      </c>
      <c r="H81" s="6">
        <f t="shared" si="3"/>
        <v>-4163.8335089885131</v>
      </c>
      <c r="I81" s="6">
        <f t="shared" si="4"/>
        <v>1416471.1497051539</v>
      </c>
      <c r="J81" s="6" t="str">
        <f>IF(B81&lt;&gt;"",IF(AND(Input!$H$54="Annual",MOD(B81,12)=0),Input!$J$54,IF(AND(Input!$H$54="1st Installment",B81=1),Input!$J$54,IF(Input!$H$54="Monthly",Input!$J$54,""))),"")</f>
        <v/>
      </c>
      <c r="K81" s="6">
        <f>IF(B81&lt;&gt;"",IF(AND(Input!$H$55="Annual",MOD(B81,12)=0),Input!$J$55,IF(AND(Input!$H$55="1st Installment",B81=1),Input!$J$55,IF(Input!$H$55="Monthly",Input!$J$55,""))),"")</f>
        <v>0</v>
      </c>
      <c r="L81" s="6" t="str">
        <f>IF(B81&lt;&gt;"",IF(AND(Input!$H$56="Annual",MOD(B81,12)=0),Input!$J$56,IF(AND(Input!$H$56="1st Installment",B81=1),Input!$J$56,IF(Input!$H$56="Monthly",Input!$J$56,""))),"")</f>
        <v/>
      </c>
      <c r="M81" s="6" t="str">
        <f>IF(B81&lt;&gt;"",IF(AND(Input!$H$57="Annual",MOD(B81,12)=0),Input!$J$57,IF(AND(Input!$H$57="1st Installment",B81=1),Input!$J$57,IF(Input!$H$57="Monthly",Input!$J$57,""))),"")</f>
        <v/>
      </c>
      <c r="N81" s="6" t="str">
        <f>IF(B81&lt;&gt;"",IF(AND(Input!$H$58="Annual",MOD(B81,12)=0),Input!$J$58,IF(AND(Input!$H$58="1st Installment",B81=1),Input!$J$58,IF(Input!$H$58="Monthly",Input!$J$58,IF(AND(Input!$H$58="End of the loan",B81=Input!$E$58),Input!$J$58,"")))),"")</f>
        <v/>
      </c>
      <c r="O81" s="6">
        <f t="shared" ref="O81:O144" si="10">IF(B81&lt;&gt;"",SUM(J81:N81),"")</f>
        <v>0</v>
      </c>
      <c r="P81" s="4">
        <f t="shared" ref="P81:P144" si="11">IF(B81&lt;&gt;"",(-H81+O81),"")</f>
        <v>4163.8335089885131</v>
      </c>
      <c r="T81" s="9">
        <f t="shared" si="2"/>
        <v>46502</v>
      </c>
      <c r="U81" s="5">
        <f t="shared" si="5"/>
        <v>4163.83</v>
      </c>
    </row>
    <row r="82" spans="2:21">
      <c r="B82" s="16">
        <f t="shared" si="6"/>
        <v>65</v>
      </c>
      <c r="C82" s="9">
        <f t="shared" si="7"/>
        <v>46532</v>
      </c>
      <c r="D82" s="6">
        <f>IFERROR((PPMT(Input!$E$55/12,B82,$C$6,Input!$E$54,-Input!$E$65,0))," ")</f>
        <v>-1389.9108408159204</v>
      </c>
      <c r="E82" s="6">
        <f>IFERROR(((IPMT(Input!$E$55/12,B82,$C$6,Input!$E$54,-Input!$E$65,0)))," ")</f>
        <v>-2773.9226681725931</v>
      </c>
      <c r="F82" s="6">
        <f t="shared" si="9"/>
        <v>-84918.761135661975</v>
      </c>
      <c r="G82" s="6">
        <f t="shared" si="8"/>
        <v>-185730.41694859142</v>
      </c>
      <c r="H82" s="6">
        <f t="shared" si="3"/>
        <v>-4163.8335089885131</v>
      </c>
      <c r="I82" s="6">
        <f t="shared" si="4"/>
        <v>1415081.238864338</v>
      </c>
      <c r="J82" s="6" t="str">
        <f>IF(B82&lt;&gt;"",IF(AND(Input!$H$54="Annual",MOD(B82,12)=0),Input!$J$54,IF(AND(Input!$H$54="1st Installment",B82=1),Input!$J$54,IF(Input!$H$54="Monthly",Input!$J$54,""))),"")</f>
        <v/>
      </c>
      <c r="K82" s="6">
        <f>IF(B82&lt;&gt;"",IF(AND(Input!$H$55="Annual",MOD(B82,12)=0),Input!$J$55,IF(AND(Input!$H$55="1st Installment",B82=1),Input!$J$55,IF(Input!$H$55="Monthly",Input!$J$55,""))),"")</f>
        <v>0</v>
      </c>
      <c r="L82" s="6" t="str">
        <f>IF(B82&lt;&gt;"",IF(AND(Input!$H$56="Annual",MOD(B82,12)=0),Input!$J$56,IF(AND(Input!$H$56="1st Installment",B82=1),Input!$J$56,IF(Input!$H$56="Monthly",Input!$J$56,""))),"")</f>
        <v/>
      </c>
      <c r="M82" s="6" t="str">
        <f>IF(B82&lt;&gt;"",IF(AND(Input!$H$57="Annual",MOD(B82,12)=0),Input!$J$57,IF(AND(Input!$H$57="1st Installment",B82=1),Input!$J$57,IF(Input!$H$57="Monthly",Input!$J$57,""))),"")</f>
        <v/>
      </c>
      <c r="N82" s="6" t="str">
        <f>IF(B82&lt;&gt;"",IF(AND(Input!$H$58="Annual",MOD(B82,12)=0),Input!$J$58,IF(AND(Input!$H$58="1st Installment",B82=1),Input!$J$58,IF(Input!$H$58="Monthly",Input!$J$58,IF(AND(Input!$H$58="End of the loan",B82=Input!$E$58),Input!$J$58,"")))),"")</f>
        <v/>
      </c>
      <c r="O82" s="6">
        <f t="shared" si="10"/>
        <v>0</v>
      </c>
      <c r="P82" s="4">
        <f t="shared" si="11"/>
        <v>4163.8335089885131</v>
      </c>
      <c r="T82" s="9">
        <f t="shared" ref="T82:T145" si="12">C82</f>
        <v>46532</v>
      </c>
      <c r="U82" s="5">
        <f t="shared" si="5"/>
        <v>4163.83</v>
      </c>
    </row>
    <row r="83" spans="2:21">
      <c r="B83" s="16">
        <f t="shared" si="6"/>
        <v>66</v>
      </c>
      <c r="C83" s="9">
        <f t="shared" si="7"/>
        <v>46563</v>
      </c>
      <c r="D83" s="6">
        <f>IFERROR((PPMT(Input!$E$55/12,B83,$C$6,Input!$E$54,-Input!$E$65,0))," ")</f>
        <v>-1392.6327495458518</v>
      </c>
      <c r="E83" s="6">
        <f>IFERROR(((IPMT(Input!$E$55/12,B83,$C$6,Input!$E$54,-Input!$E$65,0)))," ")</f>
        <v>-2771.2007594426623</v>
      </c>
      <c r="F83" s="6">
        <f t="shared" si="9"/>
        <v>-86311.393885207828</v>
      </c>
      <c r="G83" s="6">
        <f t="shared" si="8"/>
        <v>-188501.61770803409</v>
      </c>
      <c r="H83" s="6">
        <f t="shared" ref="H83:H146" si="13">+IF(B83=$C$6+1,-$C$13,IFERROR(D83+E83,""))</f>
        <v>-4163.833508988514</v>
      </c>
      <c r="I83" s="6">
        <f t="shared" ref="I83:I146" si="14">+IFERROR($C$8+F83,"")</f>
        <v>1413688.6061147922</v>
      </c>
      <c r="J83" s="6" t="str">
        <f>IF(B83&lt;&gt;"",IF(AND(Input!$H$54="Annual",MOD(B83,12)=0),Input!$J$54,IF(AND(Input!$H$54="1st Installment",B83=1),Input!$J$54,IF(Input!$H$54="Monthly",Input!$J$54,""))),"")</f>
        <v/>
      </c>
      <c r="K83" s="6">
        <f>IF(B83&lt;&gt;"",IF(AND(Input!$H$55="Annual",MOD(B83,12)=0),Input!$J$55,IF(AND(Input!$H$55="1st Installment",B83=1),Input!$J$55,IF(Input!$H$55="Monthly",Input!$J$55,""))),"")</f>
        <v>0</v>
      </c>
      <c r="L83" s="6" t="str">
        <f>IF(B83&lt;&gt;"",IF(AND(Input!$H$56="Annual",MOD(B83,12)=0),Input!$J$56,IF(AND(Input!$H$56="1st Installment",B83=1),Input!$J$56,IF(Input!$H$56="Monthly",Input!$J$56,""))),"")</f>
        <v/>
      </c>
      <c r="M83" s="6" t="str">
        <f>IF(B83&lt;&gt;"",IF(AND(Input!$H$57="Annual",MOD(B83,12)=0),Input!$J$57,IF(AND(Input!$H$57="1st Installment",B83=1),Input!$J$57,IF(Input!$H$57="Monthly",Input!$J$57,""))),"")</f>
        <v/>
      </c>
      <c r="N83" s="6" t="str">
        <f>IF(B83&lt;&gt;"",IF(AND(Input!$H$58="Annual",MOD(B83,12)=0),Input!$J$58,IF(AND(Input!$H$58="1st Installment",B83=1),Input!$J$58,IF(Input!$H$58="Monthly",Input!$J$58,IF(AND(Input!$H$58="End of the loan",B83=Input!$E$58),Input!$J$58,"")))),"")</f>
        <v/>
      </c>
      <c r="O83" s="6">
        <f t="shared" si="10"/>
        <v>0</v>
      </c>
      <c r="P83" s="4">
        <f t="shared" si="11"/>
        <v>4163.833508988514</v>
      </c>
      <c r="T83" s="9">
        <f t="shared" si="12"/>
        <v>46563</v>
      </c>
      <c r="U83" s="5">
        <f t="shared" ref="U83:U146" si="15">IFERROR(ROUND(_xlfn.IFNA(VLOOKUP(T83,$C$18:$P$385,14,0),0),2)," ")</f>
        <v>4163.83</v>
      </c>
    </row>
    <row r="84" spans="2:21">
      <c r="B84" s="16">
        <f t="shared" ref="B84:B147" si="16">IF(B83="","",IF((B83+1)&lt;=$C$6+1,B83+1,""))</f>
        <v>67</v>
      </c>
      <c r="C84" s="9">
        <f t="shared" ref="C84:C147" si="17">IF(B84="","",EDATE(C83,1))</f>
        <v>46593</v>
      </c>
      <c r="D84" s="6">
        <f>IFERROR((PPMT(Input!$E$55/12,B84,$C$6,Input!$E$54,-Input!$E$65,0))," ")</f>
        <v>-1395.359988680379</v>
      </c>
      <c r="E84" s="6">
        <f>IFERROR(((IPMT(Input!$E$55/12,B84,$C$6,Input!$E$54,-Input!$E$65,0)))," ")</f>
        <v>-2768.4735203081345</v>
      </c>
      <c r="F84" s="6">
        <f t="shared" si="9"/>
        <v>-87706.753873888214</v>
      </c>
      <c r="G84" s="6">
        <f t="shared" ref="G84:G147" si="18">IF(B84&lt;=$C$6,G83+E84,"")</f>
        <v>-191270.09122834221</v>
      </c>
      <c r="H84" s="6">
        <f t="shared" si="13"/>
        <v>-4163.8335089885131</v>
      </c>
      <c r="I84" s="6">
        <f t="shared" si="14"/>
        <v>1412293.2461261118</v>
      </c>
      <c r="J84" s="6" t="str">
        <f>IF(B84&lt;&gt;"",IF(AND(Input!$H$54="Annual",MOD(B84,12)=0),Input!$J$54,IF(AND(Input!$H$54="1st Installment",B84=1),Input!$J$54,IF(Input!$H$54="Monthly",Input!$J$54,""))),"")</f>
        <v/>
      </c>
      <c r="K84" s="6">
        <f>IF(B84&lt;&gt;"",IF(AND(Input!$H$55="Annual",MOD(B84,12)=0),Input!$J$55,IF(AND(Input!$H$55="1st Installment",B84=1),Input!$J$55,IF(Input!$H$55="Monthly",Input!$J$55,""))),"")</f>
        <v>0</v>
      </c>
      <c r="L84" s="6" t="str">
        <f>IF(B84&lt;&gt;"",IF(AND(Input!$H$56="Annual",MOD(B84,12)=0),Input!$J$56,IF(AND(Input!$H$56="1st Installment",B84=1),Input!$J$56,IF(Input!$H$56="Monthly",Input!$J$56,""))),"")</f>
        <v/>
      </c>
      <c r="M84" s="6" t="str">
        <f>IF(B84&lt;&gt;"",IF(AND(Input!$H$57="Annual",MOD(B84,12)=0),Input!$J$57,IF(AND(Input!$H$57="1st Installment",B84=1),Input!$J$57,IF(Input!$H$57="Monthly",Input!$J$57,""))),"")</f>
        <v/>
      </c>
      <c r="N84" s="6" t="str">
        <f>IF(B84&lt;&gt;"",IF(AND(Input!$H$58="Annual",MOD(B84,12)=0),Input!$J$58,IF(AND(Input!$H$58="1st Installment",B84=1),Input!$J$58,IF(Input!$H$58="Monthly",Input!$J$58,IF(AND(Input!$H$58="End of the loan",B84=Input!$E$58),Input!$J$58,"")))),"")</f>
        <v/>
      </c>
      <c r="O84" s="6">
        <f t="shared" si="10"/>
        <v>0</v>
      </c>
      <c r="P84" s="4">
        <f t="shared" si="11"/>
        <v>4163.8335089885131</v>
      </c>
      <c r="T84" s="9">
        <f t="shared" si="12"/>
        <v>46593</v>
      </c>
      <c r="U84" s="5">
        <f t="shared" si="15"/>
        <v>4163.83</v>
      </c>
    </row>
    <row r="85" spans="2:21">
      <c r="B85" s="16">
        <f t="shared" si="16"/>
        <v>68</v>
      </c>
      <c r="C85" s="9">
        <f t="shared" si="17"/>
        <v>46624</v>
      </c>
      <c r="D85" s="6">
        <f>IFERROR((PPMT(Input!$E$55/12,B85,$C$6,Input!$E$54,-Input!$E$65,0))," ")</f>
        <v>-1398.0925686582116</v>
      </c>
      <c r="E85" s="6">
        <f>IFERROR(((IPMT(Input!$E$55/12,B85,$C$6,Input!$E$54,-Input!$E$65,0)))," ")</f>
        <v>-2765.7409403303027</v>
      </c>
      <c r="F85" s="6">
        <f t="shared" ref="F85:F148" si="19">IF(B85&lt;=$C$6,F84+D85,"")</f>
        <v>-89104.846442546419</v>
      </c>
      <c r="G85" s="6">
        <f t="shared" si="18"/>
        <v>-194035.83216867252</v>
      </c>
      <c r="H85" s="6">
        <f t="shared" si="13"/>
        <v>-4163.833508988514</v>
      </c>
      <c r="I85" s="6">
        <f t="shared" si="14"/>
        <v>1410895.1535574535</v>
      </c>
      <c r="J85" s="6" t="str">
        <f>IF(B85&lt;&gt;"",IF(AND(Input!$H$54="Annual",MOD(B85,12)=0),Input!$J$54,IF(AND(Input!$H$54="1st Installment",B85=1),Input!$J$54,IF(Input!$H$54="Monthly",Input!$J$54,""))),"")</f>
        <v/>
      </c>
      <c r="K85" s="6">
        <f>IF(B85&lt;&gt;"",IF(AND(Input!$H$55="Annual",MOD(B85,12)=0),Input!$J$55,IF(AND(Input!$H$55="1st Installment",B85=1),Input!$J$55,IF(Input!$H$55="Monthly",Input!$J$55,""))),"")</f>
        <v>0</v>
      </c>
      <c r="L85" s="6" t="str">
        <f>IF(B85&lt;&gt;"",IF(AND(Input!$H$56="Annual",MOD(B85,12)=0),Input!$J$56,IF(AND(Input!$H$56="1st Installment",B85=1),Input!$J$56,IF(Input!$H$56="Monthly",Input!$J$56,""))),"")</f>
        <v/>
      </c>
      <c r="M85" s="6" t="str">
        <f>IF(B85&lt;&gt;"",IF(AND(Input!$H$57="Annual",MOD(B85,12)=0),Input!$J$57,IF(AND(Input!$H$57="1st Installment",B85=1),Input!$J$57,IF(Input!$H$57="Monthly",Input!$J$57,""))),"")</f>
        <v/>
      </c>
      <c r="N85" s="6" t="str">
        <f>IF(B85&lt;&gt;"",IF(AND(Input!$H$58="Annual",MOD(B85,12)=0),Input!$J$58,IF(AND(Input!$H$58="1st Installment",B85=1),Input!$J$58,IF(Input!$H$58="Monthly",Input!$J$58,IF(AND(Input!$H$58="End of the loan",B85=Input!$E$58),Input!$J$58,"")))),"")</f>
        <v/>
      </c>
      <c r="O85" s="6">
        <f t="shared" si="10"/>
        <v>0</v>
      </c>
      <c r="P85" s="4">
        <f t="shared" si="11"/>
        <v>4163.833508988514</v>
      </c>
      <c r="T85" s="9">
        <f t="shared" si="12"/>
        <v>46624</v>
      </c>
      <c r="U85" s="5">
        <f t="shared" si="15"/>
        <v>4163.83</v>
      </c>
    </row>
    <row r="86" spans="2:21">
      <c r="B86" s="16">
        <f t="shared" si="16"/>
        <v>69</v>
      </c>
      <c r="C86" s="9">
        <f t="shared" si="17"/>
        <v>46655</v>
      </c>
      <c r="D86" s="6">
        <f>IFERROR((PPMT(Input!$E$55/12,B86,$C$6,Input!$E$54,-Input!$E$65,0))," ")</f>
        <v>-1400.8304999385005</v>
      </c>
      <c r="E86" s="6">
        <f>IFERROR(((IPMT(Input!$E$55/12,B86,$C$6,Input!$E$54,-Input!$E$65,0)))," ")</f>
        <v>-2763.0030090500136</v>
      </c>
      <c r="F86" s="6">
        <f t="shared" si="19"/>
        <v>-90505.676942484919</v>
      </c>
      <c r="G86" s="6">
        <f t="shared" si="18"/>
        <v>-196798.83517772253</v>
      </c>
      <c r="H86" s="6">
        <f t="shared" si="13"/>
        <v>-4163.833508988514</v>
      </c>
      <c r="I86" s="6">
        <f t="shared" si="14"/>
        <v>1409494.3230575151</v>
      </c>
      <c r="J86" s="6" t="str">
        <f>IF(B86&lt;&gt;"",IF(AND(Input!$H$54="Annual",MOD(B86,12)=0),Input!$J$54,IF(AND(Input!$H$54="1st Installment",B86=1),Input!$J$54,IF(Input!$H$54="Monthly",Input!$J$54,""))),"")</f>
        <v/>
      </c>
      <c r="K86" s="6">
        <f>IF(B86&lt;&gt;"",IF(AND(Input!$H$55="Annual",MOD(B86,12)=0),Input!$J$55,IF(AND(Input!$H$55="1st Installment",B86=1),Input!$J$55,IF(Input!$H$55="Monthly",Input!$J$55,""))),"")</f>
        <v>0</v>
      </c>
      <c r="L86" s="6" t="str">
        <f>IF(B86&lt;&gt;"",IF(AND(Input!$H$56="Annual",MOD(B86,12)=0),Input!$J$56,IF(AND(Input!$H$56="1st Installment",B86=1),Input!$J$56,IF(Input!$H$56="Monthly",Input!$J$56,""))),"")</f>
        <v/>
      </c>
      <c r="M86" s="6" t="str">
        <f>IF(B86&lt;&gt;"",IF(AND(Input!$H$57="Annual",MOD(B86,12)=0),Input!$J$57,IF(AND(Input!$H$57="1st Installment",B86=1),Input!$J$57,IF(Input!$H$57="Monthly",Input!$J$57,""))),"")</f>
        <v/>
      </c>
      <c r="N86" s="6" t="str">
        <f>IF(B86&lt;&gt;"",IF(AND(Input!$H$58="Annual",MOD(B86,12)=0),Input!$J$58,IF(AND(Input!$H$58="1st Installment",B86=1),Input!$J$58,IF(Input!$H$58="Monthly",Input!$J$58,IF(AND(Input!$H$58="End of the loan",B86=Input!$E$58),Input!$J$58,"")))),"")</f>
        <v/>
      </c>
      <c r="O86" s="6">
        <f t="shared" si="10"/>
        <v>0</v>
      </c>
      <c r="P86" s="4">
        <f t="shared" si="11"/>
        <v>4163.833508988514</v>
      </c>
      <c r="T86" s="9">
        <f t="shared" si="12"/>
        <v>46655</v>
      </c>
      <c r="U86" s="5">
        <f t="shared" si="15"/>
        <v>4163.83</v>
      </c>
    </row>
    <row r="87" spans="2:21">
      <c r="B87" s="16">
        <f t="shared" si="16"/>
        <v>70</v>
      </c>
      <c r="C87" s="9">
        <f t="shared" si="17"/>
        <v>46685</v>
      </c>
      <c r="D87" s="6">
        <f>IFERROR((PPMT(Input!$E$55/12,B87,$C$6,Input!$E$54,-Input!$E$65,0))," ")</f>
        <v>-1403.57379300088</v>
      </c>
      <c r="E87" s="6">
        <f>IFERROR(((IPMT(Input!$E$55/12,B87,$C$6,Input!$E$54,-Input!$E$65,0)))," ")</f>
        <v>-2760.2597159876336</v>
      </c>
      <c r="F87" s="6">
        <f t="shared" si="19"/>
        <v>-91909.250735485795</v>
      </c>
      <c r="G87" s="6">
        <f t="shared" si="18"/>
        <v>-199559.09489371016</v>
      </c>
      <c r="H87" s="6">
        <f t="shared" si="13"/>
        <v>-4163.8335089885131</v>
      </c>
      <c r="I87" s="6">
        <f t="shared" si="14"/>
        <v>1408090.7492645143</v>
      </c>
      <c r="J87" s="6" t="str">
        <f>IF(B87&lt;&gt;"",IF(AND(Input!$H$54="Annual",MOD(B87,12)=0),Input!$J$54,IF(AND(Input!$H$54="1st Installment",B87=1),Input!$J$54,IF(Input!$H$54="Monthly",Input!$J$54,""))),"")</f>
        <v/>
      </c>
      <c r="K87" s="6">
        <f>IF(B87&lt;&gt;"",IF(AND(Input!$H$55="Annual",MOD(B87,12)=0),Input!$J$55,IF(AND(Input!$H$55="1st Installment",B87=1),Input!$J$55,IF(Input!$H$55="Monthly",Input!$J$55,""))),"")</f>
        <v>0</v>
      </c>
      <c r="L87" s="6" t="str">
        <f>IF(B87&lt;&gt;"",IF(AND(Input!$H$56="Annual",MOD(B87,12)=0),Input!$J$56,IF(AND(Input!$H$56="1st Installment",B87=1),Input!$J$56,IF(Input!$H$56="Monthly",Input!$J$56,""))),"")</f>
        <v/>
      </c>
      <c r="M87" s="6" t="str">
        <f>IF(B87&lt;&gt;"",IF(AND(Input!$H$57="Annual",MOD(B87,12)=0),Input!$J$57,IF(AND(Input!$H$57="1st Installment",B87=1),Input!$J$57,IF(Input!$H$57="Monthly",Input!$J$57,""))),"")</f>
        <v/>
      </c>
      <c r="N87" s="6" t="str">
        <f>IF(B87&lt;&gt;"",IF(AND(Input!$H$58="Annual",MOD(B87,12)=0),Input!$J$58,IF(AND(Input!$H$58="1st Installment",B87=1),Input!$J$58,IF(Input!$H$58="Monthly",Input!$J$58,IF(AND(Input!$H$58="End of the loan",B87=Input!$E$58),Input!$J$58,"")))),"")</f>
        <v/>
      </c>
      <c r="O87" s="6">
        <f t="shared" si="10"/>
        <v>0</v>
      </c>
      <c r="P87" s="4">
        <f t="shared" si="11"/>
        <v>4163.8335089885131</v>
      </c>
      <c r="T87" s="9">
        <f t="shared" si="12"/>
        <v>46685</v>
      </c>
      <c r="U87" s="5">
        <f t="shared" si="15"/>
        <v>4163.83</v>
      </c>
    </row>
    <row r="88" spans="2:21">
      <c r="B88" s="16">
        <f t="shared" si="16"/>
        <v>71</v>
      </c>
      <c r="C88" s="9">
        <f t="shared" si="17"/>
        <v>46716</v>
      </c>
      <c r="D88" s="6">
        <f>IFERROR((PPMT(Input!$E$55/12,B88,$C$6,Input!$E$54,-Input!$E$65,0))," ")</f>
        <v>-1406.3224583455067</v>
      </c>
      <c r="E88" s="6">
        <f>IFERROR(((IPMT(Input!$E$55/12,B88,$C$6,Input!$E$54,-Input!$E$65,0)))," ")</f>
        <v>-2757.5110506430069</v>
      </c>
      <c r="F88" s="6">
        <f t="shared" si="19"/>
        <v>-93315.573193831297</v>
      </c>
      <c r="G88" s="6">
        <f t="shared" si="18"/>
        <v>-202316.60594435318</v>
      </c>
      <c r="H88" s="6">
        <f t="shared" si="13"/>
        <v>-4163.8335089885131</v>
      </c>
      <c r="I88" s="6">
        <f t="shared" si="14"/>
        <v>1406684.4268061686</v>
      </c>
      <c r="J88" s="6" t="str">
        <f>IF(B88&lt;&gt;"",IF(AND(Input!$H$54="Annual",MOD(B88,12)=0),Input!$J$54,IF(AND(Input!$H$54="1st Installment",B88=1),Input!$J$54,IF(Input!$H$54="Monthly",Input!$J$54,""))),"")</f>
        <v/>
      </c>
      <c r="K88" s="6">
        <f>IF(B88&lt;&gt;"",IF(AND(Input!$H$55="Annual",MOD(B88,12)=0),Input!$J$55,IF(AND(Input!$H$55="1st Installment",B88=1),Input!$J$55,IF(Input!$H$55="Monthly",Input!$J$55,""))),"")</f>
        <v>0</v>
      </c>
      <c r="L88" s="6" t="str">
        <f>IF(B88&lt;&gt;"",IF(AND(Input!$H$56="Annual",MOD(B88,12)=0),Input!$J$56,IF(AND(Input!$H$56="1st Installment",B88=1),Input!$J$56,IF(Input!$H$56="Monthly",Input!$J$56,""))),"")</f>
        <v/>
      </c>
      <c r="M88" s="6" t="str">
        <f>IF(B88&lt;&gt;"",IF(AND(Input!$H$57="Annual",MOD(B88,12)=0),Input!$J$57,IF(AND(Input!$H$57="1st Installment",B88=1),Input!$J$57,IF(Input!$H$57="Monthly",Input!$J$57,""))),"")</f>
        <v/>
      </c>
      <c r="N88" s="6" t="str">
        <f>IF(B88&lt;&gt;"",IF(AND(Input!$H$58="Annual",MOD(B88,12)=0),Input!$J$58,IF(AND(Input!$H$58="1st Installment",B88=1),Input!$J$58,IF(Input!$H$58="Monthly",Input!$J$58,IF(AND(Input!$H$58="End of the loan",B88=Input!$E$58),Input!$J$58,"")))),"")</f>
        <v/>
      </c>
      <c r="O88" s="6">
        <f t="shared" si="10"/>
        <v>0</v>
      </c>
      <c r="P88" s="4">
        <f t="shared" si="11"/>
        <v>4163.8335089885131</v>
      </c>
      <c r="T88" s="9">
        <f t="shared" si="12"/>
        <v>46716</v>
      </c>
      <c r="U88" s="5">
        <f t="shared" si="15"/>
        <v>4163.83</v>
      </c>
    </row>
    <row r="89" spans="2:21">
      <c r="B89" s="16">
        <f t="shared" si="16"/>
        <v>72</v>
      </c>
      <c r="C89" s="9">
        <f t="shared" si="17"/>
        <v>46746</v>
      </c>
      <c r="D89" s="6">
        <f>IFERROR((PPMT(Input!$E$55/12,B89,$C$6,Input!$E$54,-Input!$E$65,0))," ")</f>
        <v>-1409.0765064930999</v>
      </c>
      <c r="E89" s="6">
        <f>IFERROR(((IPMT(Input!$E$55/12,B89,$C$6,Input!$E$54,-Input!$E$65,0)))," ")</f>
        <v>-2754.7570024954139</v>
      </c>
      <c r="F89" s="6">
        <f t="shared" si="19"/>
        <v>-94724.6497003244</v>
      </c>
      <c r="G89" s="6">
        <f t="shared" si="18"/>
        <v>-205071.36294684859</v>
      </c>
      <c r="H89" s="6">
        <f t="shared" si="13"/>
        <v>-4163.833508988514</v>
      </c>
      <c r="I89" s="6">
        <f t="shared" si="14"/>
        <v>1405275.3502996755</v>
      </c>
      <c r="J89" s="6" t="str">
        <f>IF(B89&lt;&gt;"",IF(AND(Input!$H$54="Annual",MOD(B89,12)=0),Input!$J$54,IF(AND(Input!$H$54="1st Installment",B89=1),Input!$J$54,IF(Input!$H$54="Monthly",Input!$J$54,""))),"")</f>
        <v/>
      </c>
      <c r="K89" s="6">
        <f>IF(B89&lt;&gt;"",IF(AND(Input!$H$55="Annual",MOD(B89,12)=0),Input!$J$55,IF(AND(Input!$H$55="1st Installment",B89=1),Input!$J$55,IF(Input!$H$55="Monthly",Input!$J$55,""))),"")</f>
        <v>0</v>
      </c>
      <c r="L89" s="6" t="str">
        <f>IF(B89&lt;&gt;"",IF(AND(Input!$H$56="Annual",MOD(B89,12)=0),Input!$J$56,IF(AND(Input!$H$56="1st Installment",B89=1),Input!$J$56,IF(Input!$H$56="Monthly",Input!$J$56,""))),"")</f>
        <v/>
      </c>
      <c r="M89" s="6" t="str">
        <f>IF(B89&lt;&gt;"",IF(AND(Input!$H$57="Annual",MOD(B89,12)=0),Input!$J$57,IF(AND(Input!$H$57="1st Installment",B89=1),Input!$J$57,IF(Input!$H$57="Monthly",Input!$J$57,""))),"")</f>
        <v/>
      </c>
      <c r="N89" s="6" t="str">
        <f>IF(B89&lt;&gt;"",IF(AND(Input!$H$58="Annual",MOD(B89,12)=0),Input!$J$58,IF(AND(Input!$H$58="1st Installment",B89=1),Input!$J$58,IF(Input!$H$58="Monthly",Input!$J$58,IF(AND(Input!$H$58="End of the loan",B89=Input!$E$58),Input!$J$58,"")))),"")</f>
        <v/>
      </c>
      <c r="O89" s="6">
        <f t="shared" si="10"/>
        <v>0</v>
      </c>
      <c r="P89" s="4">
        <f t="shared" si="11"/>
        <v>4163.833508988514</v>
      </c>
      <c r="T89" s="9">
        <f t="shared" si="12"/>
        <v>46746</v>
      </c>
      <c r="U89" s="5">
        <f t="shared" si="15"/>
        <v>4163.83</v>
      </c>
    </row>
    <row r="90" spans="2:21">
      <c r="B90" s="16">
        <f t="shared" si="16"/>
        <v>73</v>
      </c>
      <c r="C90" s="9">
        <f t="shared" si="17"/>
        <v>46777</v>
      </c>
      <c r="D90" s="6">
        <f>IFERROR((PPMT(Input!$E$55/12,B90,$C$6,Input!$E$54,-Input!$E$65,0))," ")</f>
        <v>-1411.8359479849823</v>
      </c>
      <c r="E90" s="6">
        <f>IFERROR(((IPMT(Input!$E$55/12,B90,$C$6,Input!$E$54,-Input!$E$65,0)))," ")</f>
        <v>-2751.9975610035312</v>
      </c>
      <c r="F90" s="6">
        <f t="shared" si="19"/>
        <v>-96136.485648309375</v>
      </c>
      <c r="G90" s="6">
        <f t="shared" si="18"/>
        <v>-207823.36050785211</v>
      </c>
      <c r="H90" s="6">
        <f t="shared" si="13"/>
        <v>-4163.8335089885131</v>
      </c>
      <c r="I90" s="6">
        <f t="shared" si="14"/>
        <v>1403863.5143516907</v>
      </c>
      <c r="J90" s="6" t="str">
        <f>IF(B90&lt;&gt;"",IF(AND(Input!$H$54="Annual",MOD(B90,12)=0),Input!$J$54,IF(AND(Input!$H$54="1st Installment",B90=1),Input!$J$54,IF(Input!$H$54="Monthly",Input!$J$54,""))),"")</f>
        <v/>
      </c>
      <c r="K90" s="6">
        <f>IF(B90&lt;&gt;"",IF(AND(Input!$H$55="Annual",MOD(B90,12)=0),Input!$J$55,IF(AND(Input!$H$55="1st Installment",B90=1),Input!$J$55,IF(Input!$H$55="Monthly",Input!$J$55,""))),"")</f>
        <v>0</v>
      </c>
      <c r="L90" s="6" t="str">
        <f>IF(B90&lt;&gt;"",IF(AND(Input!$H$56="Annual",MOD(B90,12)=0),Input!$J$56,IF(AND(Input!$H$56="1st Installment",B90=1),Input!$J$56,IF(Input!$H$56="Monthly",Input!$J$56,""))),"")</f>
        <v/>
      </c>
      <c r="M90" s="6" t="str">
        <f>IF(B90&lt;&gt;"",IF(AND(Input!$H$57="Annual",MOD(B90,12)=0),Input!$J$57,IF(AND(Input!$H$57="1st Installment",B90=1),Input!$J$57,IF(Input!$H$57="Monthly",Input!$J$57,""))),"")</f>
        <v/>
      </c>
      <c r="N90" s="6" t="str">
        <f>IF(B90&lt;&gt;"",IF(AND(Input!$H$58="Annual",MOD(B90,12)=0),Input!$J$58,IF(AND(Input!$H$58="1st Installment",B90=1),Input!$J$58,IF(Input!$H$58="Monthly",Input!$J$58,IF(AND(Input!$H$58="End of the loan",B90=Input!$E$58),Input!$J$58,"")))),"")</f>
        <v/>
      </c>
      <c r="O90" s="6">
        <f t="shared" si="10"/>
        <v>0</v>
      </c>
      <c r="P90" s="4">
        <f t="shared" si="11"/>
        <v>4163.8335089885131</v>
      </c>
      <c r="T90" s="9">
        <f t="shared" si="12"/>
        <v>46777</v>
      </c>
      <c r="U90" s="5">
        <f t="shared" si="15"/>
        <v>4163.83</v>
      </c>
    </row>
    <row r="91" spans="2:21">
      <c r="B91" s="16">
        <f t="shared" si="16"/>
        <v>74</v>
      </c>
      <c r="C91" s="9">
        <f t="shared" si="17"/>
        <v>46808</v>
      </c>
      <c r="D91" s="6">
        <f>IFERROR((PPMT(Input!$E$55/12,B91,$C$6,Input!$E$54,-Input!$E$65,0))," ")</f>
        <v>-1414.6007933831197</v>
      </c>
      <c r="E91" s="6">
        <f>IFERROR(((IPMT(Input!$E$55/12,B91,$C$6,Input!$E$54,-Input!$E$65,0)))," ")</f>
        <v>-2749.2327156053939</v>
      </c>
      <c r="F91" s="6">
        <f t="shared" si="19"/>
        <v>-97551.086441692489</v>
      </c>
      <c r="G91" s="6">
        <f t="shared" si="18"/>
        <v>-210572.59322345749</v>
      </c>
      <c r="H91" s="6">
        <f t="shared" si="13"/>
        <v>-4163.8335089885131</v>
      </c>
      <c r="I91" s="6">
        <f t="shared" si="14"/>
        <v>1402448.9135583076</v>
      </c>
      <c r="J91" s="6" t="str">
        <f>IF(B91&lt;&gt;"",IF(AND(Input!$H$54="Annual",MOD(B91,12)=0),Input!$J$54,IF(AND(Input!$H$54="1st Installment",B91=1),Input!$J$54,IF(Input!$H$54="Monthly",Input!$J$54,""))),"")</f>
        <v/>
      </c>
      <c r="K91" s="6">
        <f>IF(B91&lt;&gt;"",IF(AND(Input!$H$55="Annual",MOD(B91,12)=0),Input!$J$55,IF(AND(Input!$H$55="1st Installment",B91=1),Input!$J$55,IF(Input!$H$55="Monthly",Input!$J$55,""))),"")</f>
        <v>0</v>
      </c>
      <c r="L91" s="6" t="str">
        <f>IF(B91&lt;&gt;"",IF(AND(Input!$H$56="Annual",MOD(B91,12)=0),Input!$J$56,IF(AND(Input!$H$56="1st Installment",B91=1),Input!$J$56,IF(Input!$H$56="Monthly",Input!$J$56,""))),"")</f>
        <v/>
      </c>
      <c r="M91" s="6" t="str">
        <f>IF(B91&lt;&gt;"",IF(AND(Input!$H$57="Annual",MOD(B91,12)=0),Input!$J$57,IF(AND(Input!$H$57="1st Installment",B91=1),Input!$J$57,IF(Input!$H$57="Monthly",Input!$J$57,""))),"")</f>
        <v/>
      </c>
      <c r="N91" s="6" t="str">
        <f>IF(B91&lt;&gt;"",IF(AND(Input!$H$58="Annual",MOD(B91,12)=0),Input!$J$58,IF(AND(Input!$H$58="1st Installment",B91=1),Input!$J$58,IF(Input!$H$58="Monthly",Input!$J$58,IF(AND(Input!$H$58="End of the loan",B91=Input!$E$58),Input!$J$58,"")))),"")</f>
        <v/>
      </c>
      <c r="O91" s="6">
        <f t="shared" si="10"/>
        <v>0</v>
      </c>
      <c r="P91" s="4">
        <f t="shared" si="11"/>
        <v>4163.8335089885131</v>
      </c>
      <c r="T91" s="9">
        <f t="shared" si="12"/>
        <v>46808</v>
      </c>
      <c r="U91" s="5">
        <f t="shared" si="15"/>
        <v>4163.83</v>
      </c>
    </row>
    <row r="92" spans="2:21">
      <c r="B92" s="16">
        <f t="shared" si="16"/>
        <v>75</v>
      </c>
      <c r="C92" s="9">
        <f t="shared" si="17"/>
        <v>46837</v>
      </c>
      <c r="D92" s="6">
        <f>IFERROR((PPMT(Input!$E$55/12,B92,$C$6,Input!$E$54,-Input!$E$65,0))," ")</f>
        <v>-1417.3710532701614</v>
      </c>
      <c r="E92" s="6">
        <f>IFERROR(((IPMT(Input!$E$55/12,B92,$C$6,Input!$E$54,-Input!$E$65,0)))," ")</f>
        <v>-2746.462455718352</v>
      </c>
      <c r="F92" s="6">
        <f t="shared" si="19"/>
        <v>-98968.457494962655</v>
      </c>
      <c r="G92" s="6">
        <f t="shared" si="18"/>
        <v>-213319.05567917583</v>
      </c>
      <c r="H92" s="6">
        <f t="shared" si="13"/>
        <v>-4163.8335089885131</v>
      </c>
      <c r="I92" s="6">
        <f t="shared" si="14"/>
        <v>1401031.5425050373</v>
      </c>
      <c r="J92" s="6" t="str">
        <f>IF(B92&lt;&gt;"",IF(AND(Input!$H$54="Annual",MOD(B92,12)=0),Input!$J$54,IF(AND(Input!$H$54="1st Installment",B92=1),Input!$J$54,IF(Input!$H$54="Monthly",Input!$J$54,""))),"")</f>
        <v/>
      </c>
      <c r="K92" s="6">
        <f>IF(B92&lt;&gt;"",IF(AND(Input!$H$55="Annual",MOD(B92,12)=0),Input!$J$55,IF(AND(Input!$H$55="1st Installment",B92=1),Input!$J$55,IF(Input!$H$55="Monthly",Input!$J$55,""))),"")</f>
        <v>0</v>
      </c>
      <c r="L92" s="6" t="str">
        <f>IF(B92&lt;&gt;"",IF(AND(Input!$H$56="Annual",MOD(B92,12)=0),Input!$J$56,IF(AND(Input!$H$56="1st Installment",B92=1),Input!$J$56,IF(Input!$H$56="Monthly",Input!$J$56,""))),"")</f>
        <v/>
      </c>
      <c r="M92" s="6" t="str">
        <f>IF(B92&lt;&gt;"",IF(AND(Input!$H$57="Annual",MOD(B92,12)=0),Input!$J$57,IF(AND(Input!$H$57="1st Installment",B92=1),Input!$J$57,IF(Input!$H$57="Monthly",Input!$J$57,""))),"")</f>
        <v/>
      </c>
      <c r="N92" s="6" t="str">
        <f>IF(B92&lt;&gt;"",IF(AND(Input!$H$58="Annual",MOD(B92,12)=0),Input!$J$58,IF(AND(Input!$H$58="1st Installment",B92=1),Input!$J$58,IF(Input!$H$58="Monthly",Input!$J$58,IF(AND(Input!$H$58="End of the loan",B92=Input!$E$58),Input!$J$58,"")))),"")</f>
        <v/>
      </c>
      <c r="O92" s="6">
        <f t="shared" si="10"/>
        <v>0</v>
      </c>
      <c r="P92" s="4">
        <f t="shared" si="11"/>
        <v>4163.8335089885131</v>
      </c>
      <c r="T92" s="9">
        <f t="shared" si="12"/>
        <v>46837</v>
      </c>
      <c r="U92" s="5">
        <f t="shared" si="15"/>
        <v>4163.83</v>
      </c>
    </row>
    <row r="93" spans="2:21">
      <c r="B93" s="16">
        <f t="shared" si="16"/>
        <v>76</v>
      </c>
      <c r="C93" s="9">
        <f t="shared" si="17"/>
        <v>46868</v>
      </c>
      <c r="D93" s="6">
        <f>IFERROR((PPMT(Input!$E$55/12,B93,$C$6,Input!$E$54,-Input!$E$65,0))," ")</f>
        <v>-1420.146738249482</v>
      </c>
      <c r="E93" s="6">
        <f>IFERROR(((IPMT(Input!$E$55/12,B93,$C$6,Input!$E$54,-Input!$E$65,0)))," ")</f>
        <v>-2743.6867707390315</v>
      </c>
      <c r="F93" s="6">
        <f t="shared" si="19"/>
        <v>-100388.60423321214</v>
      </c>
      <c r="G93" s="6">
        <f t="shared" si="18"/>
        <v>-216062.74244991486</v>
      </c>
      <c r="H93" s="6">
        <f t="shared" si="13"/>
        <v>-4163.8335089885131</v>
      </c>
      <c r="I93" s="6">
        <f t="shared" si="14"/>
        <v>1399611.3957667879</v>
      </c>
      <c r="J93" s="6" t="str">
        <f>IF(B93&lt;&gt;"",IF(AND(Input!$H$54="Annual",MOD(B93,12)=0),Input!$J$54,IF(AND(Input!$H$54="1st Installment",B93=1),Input!$J$54,IF(Input!$H$54="Monthly",Input!$J$54,""))),"")</f>
        <v/>
      </c>
      <c r="K93" s="6">
        <f>IF(B93&lt;&gt;"",IF(AND(Input!$H$55="Annual",MOD(B93,12)=0),Input!$J$55,IF(AND(Input!$H$55="1st Installment",B93=1),Input!$J$55,IF(Input!$H$55="Monthly",Input!$J$55,""))),"")</f>
        <v>0</v>
      </c>
      <c r="L93" s="6" t="str">
        <f>IF(B93&lt;&gt;"",IF(AND(Input!$H$56="Annual",MOD(B93,12)=0),Input!$J$56,IF(AND(Input!$H$56="1st Installment",B93=1),Input!$J$56,IF(Input!$H$56="Monthly",Input!$J$56,""))),"")</f>
        <v/>
      </c>
      <c r="M93" s="6" t="str">
        <f>IF(B93&lt;&gt;"",IF(AND(Input!$H$57="Annual",MOD(B93,12)=0),Input!$J$57,IF(AND(Input!$H$57="1st Installment",B93=1),Input!$J$57,IF(Input!$H$57="Monthly",Input!$J$57,""))),"")</f>
        <v/>
      </c>
      <c r="N93" s="6" t="str">
        <f>IF(B93&lt;&gt;"",IF(AND(Input!$H$58="Annual",MOD(B93,12)=0),Input!$J$58,IF(AND(Input!$H$58="1st Installment",B93=1),Input!$J$58,IF(Input!$H$58="Monthly",Input!$J$58,IF(AND(Input!$H$58="End of the loan",B93=Input!$E$58),Input!$J$58,"")))),"")</f>
        <v/>
      </c>
      <c r="O93" s="6">
        <f t="shared" si="10"/>
        <v>0</v>
      </c>
      <c r="P93" s="4">
        <f t="shared" si="11"/>
        <v>4163.8335089885131</v>
      </c>
      <c r="T93" s="9">
        <f t="shared" si="12"/>
        <v>46868</v>
      </c>
      <c r="U93" s="5">
        <f t="shared" si="15"/>
        <v>4163.83</v>
      </c>
    </row>
    <row r="94" spans="2:21">
      <c r="B94" s="16">
        <f t="shared" si="16"/>
        <v>77</v>
      </c>
      <c r="C94" s="9">
        <f t="shared" si="17"/>
        <v>46898</v>
      </c>
      <c r="D94" s="6">
        <f>IFERROR((PPMT(Input!$E$55/12,B94,$C$6,Input!$E$54,-Input!$E$65,0))," ")</f>
        <v>-1422.9278589452206</v>
      </c>
      <c r="E94" s="6">
        <f>IFERROR(((IPMT(Input!$E$55/12,B94,$C$6,Input!$E$54,-Input!$E$65,0)))," ")</f>
        <v>-2740.905650043293</v>
      </c>
      <c r="F94" s="6">
        <f t="shared" si="19"/>
        <v>-101811.53209215736</v>
      </c>
      <c r="G94" s="6">
        <f t="shared" si="18"/>
        <v>-218803.64809995817</v>
      </c>
      <c r="H94" s="6">
        <f t="shared" si="13"/>
        <v>-4163.8335089885131</v>
      </c>
      <c r="I94" s="6">
        <f t="shared" si="14"/>
        <v>1398188.4679078427</v>
      </c>
      <c r="J94" s="6" t="str">
        <f>IF(B94&lt;&gt;"",IF(AND(Input!$H$54="Annual",MOD(B94,12)=0),Input!$J$54,IF(AND(Input!$H$54="1st Installment",B94=1),Input!$J$54,IF(Input!$H$54="Monthly",Input!$J$54,""))),"")</f>
        <v/>
      </c>
      <c r="K94" s="6">
        <f>IF(B94&lt;&gt;"",IF(AND(Input!$H$55="Annual",MOD(B94,12)=0),Input!$J$55,IF(AND(Input!$H$55="1st Installment",B94=1),Input!$J$55,IF(Input!$H$55="Monthly",Input!$J$55,""))),"")</f>
        <v>0</v>
      </c>
      <c r="L94" s="6" t="str">
        <f>IF(B94&lt;&gt;"",IF(AND(Input!$H$56="Annual",MOD(B94,12)=0),Input!$J$56,IF(AND(Input!$H$56="1st Installment",B94=1),Input!$J$56,IF(Input!$H$56="Monthly",Input!$J$56,""))),"")</f>
        <v/>
      </c>
      <c r="M94" s="6" t="str">
        <f>IF(B94&lt;&gt;"",IF(AND(Input!$H$57="Annual",MOD(B94,12)=0),Input!$J$57,IF(AND(Input!$H$57="1st Installment",B94=1),Input!$J$57,IF(Input!$H$57="Monthly",Input!$J$57,""))),"")</f>
        <v/>
      </c>
      <c r="N94" s="6" t="str">
        <f>IF(B94&lt;&gt;"",IF(AND(Input!$H$58="Annual",MOD(B94,12)=0),Input!$J$58,IF(AND(Input!$H$58="1st Installment",B94=1),Input!$J$58,IF(Input!$H$58="Monthly",Input!$J$58,IF(AND(Input!$H$58="End of the loan",B94=Input!$E$58),Input!$J$58,"")))),"")</f>
        <v/>
      </c>
      <c r="O94" s="6">
        <f t="shared" si="10"/>
        <v>0</v>
      </c>
      <c r="P94" s="4">
        <f t="shared" si="11"/>
        <v>4163.8335089885131</v>
      </c>
      <c r="T94" s="9">
        <f t="shared" si="12"/>
        <v>46898</v>
      </c>
      <c r="U94" s="5">
        <f t="shared" si="15"/>
        <v>4163.83</v>
      </c>
    </row>
    <row r="95" spans="2:21">
      <c r="B95" s="16">
        <f t="shared" si="16"/>
        <v>78</v>
      </c>
      <c r="C95" s="9">
        <f t="shared" si="17"/>
        <v>46929</v>
      </c>
      <c r="D95" s="6">
        <f>IFERROR((PPMT(Input!$E$55/12,B95,$C$6,Input!$E$54,-Input!$E$65,0))," ")</f>
        <v>-1425.7144260023219</v>
      </c>
      <c r="E95" s="6">
        <f>IFERROR(((IPMT(Input!$E$55/12,B95,$C$6,Input!$E$54,-Input!$E$65,0)))," ")</f>
        <v>-2738.1190829861916</v>
      </c>
      <c r="F95" s="6">
        <f t="shared" si="19"/>
        <v>-103237.24651815968</v>
      </c>
      <c r="G95" s="6">
        <f t="shared" si="18"/>
        <v>-221541.76718294437</v>
      </c>
      <c r="H95" s="6">
        <f t="shared" si="13"/>
        <v>-4163.8335089885131</v>
      </c>
      <c r="I95" s="6">
        <f t="shared" si="14"/>
        <v>1396762.7534818402</v>
      </c>
      <c r="J95" s="6" t="str">
        <f>IF(B95&lt;&gt;"",IF(AND(Input!$H$54="Annual",MOD(B95,12)=0),Input!$J$54,IF(AND(Input!$H$54="1st Installment",B95=1),Input!$J$54,IF(Input!$H$54="Monthly",Input!$J$54,""))),"")</f>
        <v/>
      </c>
      <c r="K95" s="6">
        <f>IF(B95&lt;&gt;"",IF(AND(Input!$H$55="Annual",MOD(B95,12)=0),Input!$J$55,IF(AND(Input!$H$55="1st Installment",B95=1),Input!$J$55,IF(Input!$H$55="Monthly",Input!$J$55,""))),"")</f>
        <v>0</v>
      </c>
      <c r="L95" s="6" t="str">
        <f>IF(B95&lt;&gt;"",IF(AND(Input!$H$56="Annual",MOD(B95,12)=0),Input!$J$56,IF(AND(Input!$H$56="1st Installment",B95=1),Input!$J$56,IF(Input!$H$56="Monthly",Input!$J$56,""))),"")</f>
        <v/>
      </c>
      <c r="M95" s="6" t="str">
        <f>IF(B95&lt;&gt;"",IF(AND(Input!$H$57="Annual",MOD(B95,12)=0),Input!$J$57,IF(AND(Input!$H$57="1st Installment",B95=1),Input!$J$57,IF(Input!$H$57="Monthly",Input!$J$57,""))),"")</f>
        <v/>
      </c>
      <c r="N95" s="6" t="str">
        <f>IF(B95&lt;&gt;"",IF(AND(Input!$H$58="Annual",MOD(B95,12)=0),Input!$J$58,IF(AND(Input!$H$58="1st Installment",B95=1),Input!$J$58,IF(Input!$H$58="Monthly",Input!$J$58,IF(AND(Input!$H$58="End of the loan",B95=Input!$E$58),Input!$J$58,"")))),"")</f>
        <v/>
      </c>
      <c r="O95" s="6">
        <f t="shared" si="10"/>
        <v>0</v>
      </c>
      <c r="P95" s="4">
        <f t="shared" si="11"/>
        <v>4163.8335089885131</v>
      </c>
      <c r="T95" s="9">
        <f t="shared" si="12"/>
        <v>46929</v>
      </c>
      <c r="U95" s="5">
        <f t="shared" si="15"/>
        <v>4163.83</v>
      </c>
    </row>
    <row r="96" spans="2:21">
      <c r="B96" s="16">
        <f t="shared" si="16"/>
        <v>79</v>
      </c>
      <c r="C96" s="9">
        <f t="shared" si="17"/>
        <v>46959</v>
      </c>
      <c r="D96" s="6">
        <f>IFERROR((PPMT(Input!$E$55/12,B96,$C$6,Input!$E$54,-Input!$E$65,0))," ")</f>
        <v>-1428.5064500865763</v>
      </c>
      <c r="E96" s="6">
        <f>IFERROR(((IPMT(Input!$E$55/12,B96,$C$6,Input!$E$54,-Input!$E$65,0)))," ")</f>
        <v>-2735.3270589019376</v>
      </c>
      <c r="F96" s="6">
        <f t="shared" si="19"/>
        <v>-104665.75296824625</v>
      </c>
      <c r="G96" s="6">
        <f t="shared" si="18"/>
        <v>-224277.09424184629</v>
      </c>
      <c r="H96" s="6">
        <f t="shared" si="13"/>
        <v>-4163.833508988514</v>
      </c>
      <c r="I96" s="6">
        <f t="shared" si="14"/>
        <v>1395334.2470317536</v>
      </c>
      <c r="J96" s="6" t="str">
        <f>IF(B96&lt;&gt;"",IF(AND(Input!$H$54="Annual",MOD(B96,12)=0),Input!$J$54,IF(AND(Input!$H$54="1st Installment",B96=1),Input!$J$54,IF(Input!$H$54="Monthly",Input!$J$54,""))),"")</f>
        <v/>
      </c>
      <c r="K96" s="6">
        <f>IF(B96&lt;&gt;"",IF(AND(Input!$H$55="Annual",MOD(B96,12)=0),Input!$J$55,IF(AND(Input!$H$55="1st Installment",B96=1),Input!$J$55,IF(Input!$H$55="Monthly",Input!$J$55,""))),"")</f>
        <v>0</v>
      </c>
      <c r="L96" s="6" t="str">
        <f>IF(B96&lt;&gt;"",IF(AND(Input!$H$56="Annual",MOD(B96,12)=0),Input!$J$56,IF(AND(Input!$H$56="1st Installment",B96=1),Input!$J$56,IF(Input!$H$56="Monthly",Input!$J$56,""))),"")</f>
        <v/>
      </c>
      <c r="M96" s="6" t="str">
        <f>IF(B96&lt;&gt;"",IF(AND(Input!$H$57="Annual",MOD(B96,12)=0),Input!$J$57,IF(AND(Input!$H$57="1st Installment",B96=1),Input!$J$57,IF(Input!$H$57="Monthly",Input!$J$57,""))),"")</f>
        <v/>
      </c>
      <c r="N96" s="6" t="str">
        <f>IF(B96&lt;&gt;"",IF(AND(Input!$H$58="Annual",MOD(B96,12)=0),Input!$J$58,IF(AND(Input!$H$58="1st Installment",B96=1),Input!$J$58,IF(Input!$H$58="Monthly",Input!$J$58,IF(AND(Input!$H$58="End of the loan",B96=Input!$E$58),Input!$J$58,"")))),"")</f>
        <v/>
      </c>
      <c r="O96" s="6">
        <f t="shared" si="10"/>
        <v>0</v>
      </c>
      <c r="P96" s="4">
        <f t="shared" si="11"/>
        <v>4163.833508988514</v>
      </c>
      <c r="T96" s="9">
        <f t="shared" si="12"/>
        <v>46959</v>
      </c>
      <c r="U96" s="5">
        <f t="shared" si="15"/>
        <v>4163.83</v>
      </c>
    </row>
    <row r="97" spans="2:21">
      <c r="B97" s="16">
        <f t="shared" si="16"/>
        <v>80</v>
      </c>
      <c r="C97" s="9">
        <f t="shared" si="17"/>
        <v>46990</v>
      </c>
      <c r="D97" s="6">
        <f>IFERROR((PPMT(Input!$E$55/12,B97,$C$6,Input!$E$54,-Input!$E$65,0))," ")</f>
        <v>-1431.3039418846622</v>
      </c>
      <c r="E97" s="6">
        <f>IFERROR(((IPMT(Input!$E$55/12,B97,$C$6,Input!$E$54,-Input!$E$65,0)))," ")</f>
        <v>-2732.5295671038512</v>
      </c>
      <c r="F97" s="6">
        <f t="shared" si="19"/>
        <v>-106097.05691013091</v>
      </c>
      <c r="G97" s="6">
        <f t="shared" si="18"/>
        <v>-227009.62380895016</v>
      </c>
      <c r="H97" s="6">
        <f t="shared" si="13"/>
        <v>-4163.8335089885131</v>
      </c>
      <c r="I97" s="6">
        <f t="shared" si="14"/>
        <v>1393902.9430898691</v>
      </c>
      <c r="J97" s="6" t="str">
        <f>IF(B97&lt;&gt;"",IF(AND(Input!$H$54="Annual",MOD(B97,12)=0),Input!$J$54,IF(AND(Input!$H$54="1st Installment",B97=1),Input!$J$54,IF(Input!$H$54="Monthly",Input!$J$54,""))),"")</f>
        <v/>
      </c>
      <c r="K97" s="6">
        <f>IF(B97&lt;&gt;"",IF(AND(Input!$H$55="Annual",MOD(B97,12)=0),Input!$J$55,IF(AND(Input!$H$55="1st Installment",B97=1),Input!$J$55,IF(Input!$H$55="Monthly",Input!$J$55,""))),"")</f>
        <v>0</v>
      </c>
      <c r="L97" s="6" t="str">
        <f>IF(B97&lt;&gt;"",IF(AND(Input!$H$56="Annual",MOD(B97,12)=0),Input!$J$56,IF(AND(Input!$H$56="1st Installment",B97=1),Input!$J$56,IF(Input!$H$56="Monthly",Input!$J$56,""))),"")</f>
        <v/>
      </c>
      <c r="M97" s="6" t="str">
        <f>IF(B97&lt;&gt;"",IF(AND(Input!$H$57="Annual",MOD(B97,12)=0),Input!$J$57,IF(AND(Input!$H$57="1st Installment",B97=1),Input!$J$57,IF(Input!$H$57="Monthly",Input!$J$57,""))),"")</f>
        <v/>
      </c>
      <c r="N97" s="6" t="str">
        <f>IF(B97&lt;&gt;"",IF(AND(Input!$H$58="Annual",MOD(B97,12)=0),Input!$J$58,IF(AND(Input!$H$58="1st Installment",B97=1),Input!$J$58,IF(Input!$H$58="Monthly",Input!$J$58,IF(AND(Input!$H$58="End of the loan",B97=Input!$E$58),Input!$J$58,"")))),"")</f>
        <v/>
      </c>
      <c r="O97" s="6">
        <f t="shared" si="10"/>
        <v>0</v>
      </c>
      <c r="P97" s="4">
        <f t="shared" si="11"/>
        <v>4163.8335089885131</v>
      </c>
      <c r="T97" s="9">
        <f t="shared" si="12"/>
        <v>46990</v>
      </c>
      <c r="U97" s="5">
        <f t="shared" si="15"/>
        <v>4163.83</v>
      </c>
    </row>
    <row r="98" spans="2:21">
      <c r="B98" s="16">
        <f t="shared" si="16"/>
        <v>81</v>
      </c>
      <c r="C98" s="9">
        <f t="shared" si="17"/>
        <v>47021</v>
      </c>
      <c r="D98" s="6">
        <f>IFERROR((PPMT(Input!$E$55/12,B98,$C$6,Input!$E$54,-Input!$E$65,0))," ")</f>
        <v>-1434.1069121041867</v>
      </c>
      <c r="E98" s="6">
        <f>IFERROR(((IPMT(Input!$E$55/12,B98,$C$6,Input!$E$54,-Input!$E$65,0)))," ")</f>
        <v>-2729.7265968843267</v>
      </c>
      <c r="F98" s="6">
        <f t="shared" si="19"/>
        <v>-107531.16382223509</v>
      </c>
      <c r="G98" s="6">
        <f t="shared" si="18"/>
        <v>-229739.35040583447</v>
      </c>
      <c r="H98" s="6">
        <f t="shared" si="13"/>
        <v>-4163.8335089885131</v>
      </c>
      <c r="I98" s="6">
        <f t="shared" si="14"/>
        <v>1392468.8361777649</v>
      </c>
      <c r="J98" s="6" t="str">
        <f>IF(B98&lt;&gt;"",IF(AND(Input!$H$54="Annual",MOD(B98,12)=0),Input!$J$54,IF(AND(Input!$H$54="1st Installment",B98=1),Input!$J$54,IF(Input!$H$54="Monthly",Input!$J$54,""))),"")</f>
        <v/>
      </c>
      <c r="K98" s="6">
        <f>IF(B98&lt;&gt;"",IF(AND(Input!$H$55="Annual",MOD(B98,12)=0),Input!$J$55,IF(AND(Input!$H$55="1st Installment",B98=1),Input!$J$55,IF(Input!$H$55="Monthly",Input!$J$55,""))),"")</f>
        <v>0</v>
      </c>
      <c r="L98" s="6" t="str">
        <f>IF(B98&lt;&gt;"",IF(AND(Input!$H$56="Annual",MOD(B98,12)=0),Input!$J$56,IF(AND(Input!$H$56="1st Installment",B98=1),Input!$J$56,IF(Input!$H$56="Monthly",Input!$J$56,""))),"")</f>
        <v/>
      </c>
      <c r="M98" s="6" t="str">
        <f>IF(B98&lt;&gt;"",IF(AND(Input!$H$57="Annual",MOD(B98,12)=0),Input!$J$57,IF(AND(Input!$H$57="1st Installment",B98=1),Input!$J$57,IF(Input!$H$57="Monthly",Input!$J$57,""))),"")</f>
        <v/>
      </c>
      <c r="N98" s="6" t="str">
        <f>IF(B98&lt;&gt;"",IF(AND(Input!$H$58="Annual",MOD(B98,12)=0),Input!$J$58,IF(AND(Input!$H$58="1st Installment",B98=1),Input!$J$58,IF(Input!$H$58="Monthly",Input!$J$58,IF(AND(Input!$H$58="End of the loan",B98=Input!$E$58),Input!$J$58,"")))),"")</f>
        <v/>
      </c>
      <c r="O98" s="6">
        <f t="shared" si="10"/>
        <v>0</v>
      </c>
      <c r="P98" s="4">
        <f t="shared" si="11"/>
        <v>4163.8335089885131</v>
      </c>
      <c r="T98" s="9">
        <f t="shared" si="12"/>
        <v>47021</v>
      </c>
      <c r="U98" s="5">
        <f t="shared" si="15"/>
        <v>4163.83</v>
      </c>
    </row>
    <row r="99" spans="2:21">
      <c r="B99" s="16">
        <f t="shared" si="16"/>
        <v>82</v>
      </c>
      <c r="C99" s="9">
        <f t="shared" si="17"/>
        <v>47051</v>
      </c>
      <c r="D99" s="6">
        <f>IFERROR((PPMT(Input!$E$55/12,B99,$C$6,Input!$E$54,-Input!$E$65,0))," ")</f>
        <v>-1436.915371473724</v>
      </c>
      <c r="E99" s="6">
        <f>IFERROR(((IPMT(Input!$E$55/12,B99,$C$6,Input!$E$54,-Input!$E$65,0)))," ")</f>
        <v>-2726.9181375147896</v>
      </c>
      <c r="F99" s="6">
        <f t="shared" si="19"/>
        <v>-108968.07919370881</v>
      </c>
      <c r="G99" s="6">
        <f t="shared" si="18"/>
        <v>-232466.26854334926</v>
      </c>
      <c r="H99" s="6">
        <f t="shared" si="13"/>
        <v>-4163.8335089885131</v>
      </c>
      <c r="I99" s="6">
        <f t="shared" si="14"/>
        <v>1391031.9208062913</v>
      </c>
      <c r="J99" s="6" t="str">
        <f>IF(B99&lt;&gt;"",IF(AND(Input!$H$54="Annual",MOD(B99,12)=0),Input!$J$54,IF(AND(Input!$H$54="1st Installment",B99=1),Input!$J$54,IF(Input!$H$54="Monthly",Input!$J$54,""))),"")</f>
        <v/>
      </c>
      <c r="K99" s="6">
        <f>IF(B99&lt;&gt;"",IF(AND(Input!$H$55="Annual",MOD(B99,12)=0),Input!$J$55,IF(AND(Input!$H$55="1st Installment",B99=1),Input!$J$55,IF(Input!$H$55="Monthly",Input!$J$55,""))),"")</f>
        <v>0</v>
      </c>
      <c r="L99" s="6" t="str">
        <f>IF(B99&lt;&gt;"",IF(AND(Input!$H$56="Annual",MOD(B99,12)=0),Input!$J$56,IF(AND(Input!$H$56="1st Installment",B99=1),Input!$J$56,IF(Input!$H$56="Monthly",Input!$J$56,""))),"")</f>
        <v/>
      </c>
      <c r="M99" s="6" t="str">
        <f>IF(B99&lt;&gt;"",IF(AND(Input!$H$57="Annual",MOD(B99,12)=0),Input!$J$57,IF(AND(Input!$H$57="1st Installment",B99=1),Input!$J$57,IF(Input!$H$57="Monthly",Input!$J$57,""))),"")</f>
        <v/>
      </c>
      <c r="N99" s="6" t="str">
        <f>IF(B99&lt;&gt;"",IF(AND(Input!$H$58="Annual",MOD(B99,12)=0),Input!$J$58,IF(AND(Input!$H$58="1st Installment",B99=1),Input!$J$58,IF(Input!$H$58="Monthly",Input!$J$58,IF(AND(Input!$H$58="End of the loan",B99=Input!$E$58),Input!$J$58,"")))),"")</f>
        <v/>
      </c>
      <c r="O99" s="6">
        <f t="shared" si="10"/>
        <v>0</v>
      </c>
      <c r="P99" s="4">
        <f t="shared" si="11"/>
        <v>4163.8335089885131</v>
      </c>
      <c r="T99" s="9">
        <f t="shared" si="12"/>
        <v>47051</v>
      </c>
      <c r="U99" s="5">
        <f t="shared" si="15"/>
        <v>4163.83</v>
      </c>
    </row>
    <row r="100" spans="2:21">
      <c r="B100" s="16">
        <f t="shared" si="16"/>
        <v>83</v>
      </c>
      <c r="C100" s="9">
        <f t="shared" si="17"/>
        <v>47082</v>
      </c>
      <c r="D100" s="6">
        <f>IFERROR((PPMT(Input!$E$55/12,B100,$C$6,Input!$E$54,-Input!$E$65,0))," ")</f>
        <v>-1439.7293307428602</v>
      </c>
      <c r="E100" s="6">
        <f>IFERROR(((IPMT(Input!$E$55/12,B100,$C$6,Input!$E$54,-Input!$E$65,0)))," ")</f>
        <v>-2724.1041782456537</v>
      </c>
      <c r="F100" s="6">
        <f t="shared" si="19"/>
        <v>-110407.80852445167</v>
      </c>
      <c r="G100" s="6">
        <f t="shared" si="18"/>
        <v>-235190.3727215949</v>
      </c>
      <c r="H100" s="6">
        <f t="shared" si="13"/>
        <v>-4163.833508988514</v>
      </c>
      <c r="I100" s="6">
        <f t="shared" si="14"/>
        <v>1389592.1914755483</v>
      </c>
      <c r="J100" s="6" t="str">
        <f>IF(B100&lt;&gt;"",IF(AND(Input!$H$54="Annual",MOD(B100,12)=0),Input!$J$54,IF(AND(Input!$H$54="1st Installment",B100=1),Input!$J$54,IF(Input!$H$54="Monthly",Input!$J$54,""))),"")</f>
        <v/>
      </c>
      <c r="K100" s="6">
        <f>IF(B100&lt;&gt;"",IF(AND(Input!$H$55="Annual",MOD(B100,12)=0),Input!$J$55,IF(AND(Input!$H$55="1st Installment",B100=1),Input!$J$55,IF(Input!$H$55="Monthly",Input!$J$55,""))),"")</f>
        <v>0</v>
      </c>
      <c r="L100" s="6" t="str">
        <f>IF(B100&lt;&gt;"",IF(AND(Input!$H$56="Annual",MOD(B100,12)=0),Input!$J$56,IF(AND(Input!$H$56="1st Installment",B100=1),Input!$J$56,IF(Input!$H$56="Monthly",Input!$J$56,""))),"")</f>
        <v/>
      </c>
      <c r="M100" s="6" t="str">
        <f>IF(B100&lt;&gt;"",IF(AND(Input!$H$57="Annual",MOD(B100,12)=0),Input!$J$57,IF(AND(Input!$H$57="1st Installment",B100=1),Input!$J$57,IF(Input!$H$57="Monthly",Input!$J$57,""))),"")</f>
        <v/>
      </c>
      <c r="N100" s="6" t="str">
        <f>IF(B100&lt;&gt;"",IF(AND(Input!$H$58="Annual",MOD(B100,12)=0),Input!$J$58,IF(AND(Input!$H$58="1st Installment",B100=1),Input!$J$58,IF(Input!$H$58="Monthly",Input!$J$58,IF(AND(Input!$H$58="End of the loan",B100=Input!$E$58),Input!$J$58,"")))),"")</f>
        <v/>
      </c>
      <c r="O100" s="6">
        <f t="shared" si="10"/>
        <v>0</v>
      </c>
      <c r="P100" s="4">
        <f t="shared" si="11"/>
        <v>4163.833508988514</v>
      </c>
      <c r="T100" s="9">
        <f t="shared" si="12"/>
        <v>47082</v>
      </c>
      <c r="U100" s="5">
        <f t="shared" si="15"/>
        <v>4163.83</v>
      </c>
    </row>
    <row r="101" spans="2:21">
      <c r="B101" s="16">
        <f t="shared" si="16"/>
        <v>84</v>
      </c>
      <c r="C101" s="9">
        <f t="shared" si="17"/>
        <v>47112</v>
      </c>
      <c r="D101" s="6">
        <f>IFERROR((PPMT(Input!$E$55/12,B101,$C$6,Input!$E$54,-Input!$E$65,0))," ")</f>
        <v>-1442.5488006822316</v>
      </c>
      <c r="E101" s="6">
        <f>IFERROR(((IPMT(Input!$E$55/12,B101,$C$6,Input!$E$54,-Input!$E$65,0)))," ")</f>
        <v>-2721.284708306282</v>
      </c>
      <c r="F101" s="6">
        <f t="shared" si="19"/>
        <v>-111850.3573251339</v>
      </c>
      <c r="G101" s="6">
        <f t="shared" si="18"/>
        <v>-237911.65742990118</v>
      </c>
      <c r="H101" s="6">
        <f t="shared" si="13"/>
        <v>-4163.8335089885131</v>
      </c>
      <c r="I101" s="6">
        <f t="shared" si="14"/>
        <v>1388149.6426748661</v>
      </c>
      <c r="J101" s="6" t="str">
        <f>IF(B101&lt;&gt;"",IF(AND(Input!$H$54="Annual",MOD(B101,12)=0),Input!$J$54,IF(AND(Input!$H$54="1st Installment",B101=1),Input!$J$54,IF(Input!$H$54="Monthly",Input!$J$54,""))),"")</f>
        <v/>
      </c>
      <c r="K101" s="6">
        <f>IF(B101&lt;&gt;"",IF(AND(Input!$H$55="Annual",MOD(B101,12)=0),Input!$J$55,IF(AND(Input!$H$55="1st Installment",B101=1),Input!$J$55,IF(Input!$H$55="Monthly",Input!$J$55,""))),"")</f>
        <v>0</v>
      </c>
      <c r="L101" s="6" t="str">
        <f>IF(B101&lt;&gt;"",IF(AND(Input!$H$56="Annual",MOD(B101,12)=0),Input!$J$56,IF(AND(Input!$H$56="1st Installment",B101=1),Input!$J$56,IF(Input!$H$56="Monthly",Input!$J$56,""))),"")</f>
        <v/>
      </c>
      <c r="M101" s="6" t="str">
        <f>IF(B101&lt;&gt;"",IF(AND(Input!$H$57="Annual",MOD(B101,12)=0),Input!$J$57,IF(AND(Input!$H$57="1st Installment",B101=1),Input!$J$57,IF(Input!$H$57="Monthly",Input!$J$57,""))),"")</f>
        <v/>
      </c>
      <c r="N101" s="6" t="str">
        <f>IF(B101&lt;&gt;"",IF(AND(Input!$H$58="Annual",MOD(B101,12)=0),Input!$J$58,IF(AND(Input!$H$58="1st Installment",B101=1),Input!$J$58,IF(Input!$H$58="Monthly",Input!$J$58,IF(AND(Input!$H$58="End of the loan",B101=Input!$E$58),Input!$J$58,"")))),"")</f>
        <v/>
      </c>
      <c r="O101" s="6">
        <f t="shared" si="10"/>
        <v>0</v>
      </c>
      <c r="P101" s="4">
        <f t="shared" si="11"/>
        <v>4163.8335089885131</v>
      </c>
      <c r="T101" s="9">
        <f t="shared" si="12"/>
        <v>47112</v>
      </c>
      <c r="U101" s="5">
        <f t="shared" si="15"/>
        <v>4163.83</v>
      </c>
    </row>
    <row r="102" spans="2:21">
      <c r="B102" s="16">
        <f t="shared" si="16"/>
        <v>85</v>
      </c>
      <c r="C102" s="9">
        <f t="shared" si="17"/>
        <v>47143</v>
      </c>
      <c r="D102" s="6">
        <f>IFERROR((PPMT(Input!$E$55/12,B102,$C$6,Input!$E$54,-Input!$E$65,0))," ")</f>
        <v>-1445.3737920835674</v>
      </c>
      <c r="E102" s="6">
        <f>IFERROR(((IPMT(Input!$E$55/12,B102,$C$6,Input!$E$54,-Input!$E$65,0)))," ")</f>
        <v>-2718.4597169049462</v>
      </c>
      <c r="F102" s="6">
        <f t="shared" si="19"/>
        <v>-113295.73111721747</v>
      </c>
      <c r="G102" s="6">
        <f t="shared" si="18"/>
        <v>-240630.11714680612</v>
      </c>
      <c r="H102" s="6">
        <f t="shared" si="13"/>
        <v>-4163.8335089885131</v>
      </c>
      <c r="I102" s="6">
        <f t="shared" si="14"/>
        <v>1386704.2688827824</v>
      </c>
      <c r="J102" s="6" t="str">
        <f>IF(B102&lt;&gt;"",IF(AND(Input!$H$54="Annual",MOD(B102,12)=0),Input!$J$54,IF(AND(Input!$H$54="1st Installment",B102=1),Input!$J$54,IF(Input!$H$54="Monthly",Input!$J$54,""))),"")</f>
        <v/>
      </c>
      <c r="K102" s="6">
        <f>IF(B102&lt;&gt;"",IF(AND(Input!$H$55="Annual",MOD(B102,12)=0),Input!$J$55,IF(AND(Input!$H$55="1st Installment",B102=1),Input!$J$55,IF(Input!$H$55="Monthly",Input!$J$55,""))),"")</f>
        <v>0</v>
      </c>
      <c r="L102" s="6" t="str">
        <f>IF(B102&lt;&gt;"",IF(AND(Input!$H$56="Annual",MOD(B102,12)=0),Input!$J$56,IF(AND(Input!$H$56="1st Installment",B102=1),Input!$J$56,IF(Input!$H$56="Monthly",Input!$J$56,""))),"")</f>
        <v/>
      </c>
      <c r="M102" s="6" t="str">
        <f>IF(B102&lt;&gt;"",IF(AND(Input!$H$57="Annual",MOD(B102,12)=0),Input!$J$57,IF(AND(Input!$H$57="1st Installment",B102=1),Input!$J$57,IF(Input!$H$57="Monthly",Input!$J$57,""))),"")</f>
        <v/>
      </c>
      <c r="N102" s="6" t="str">
        <f>IF(B102&lt;&gt;"",IF(AND(Input!$H$58="Annual",MOD(B102,12)=0),Input!$J$58,IF(AND(Input!$H$58="1st Installment",B102=1),Input!$J$58,IF(Input!$H$58="Monthly",Input!$J$58,IF(AND(Input!$H$58="End of the loan",B102=Input!$E$58),Input!$J$58,"")))),"")</f>
        <v/>
      </c>
      <c r="O102" s="6">
        <f t="shared" si="10"/>
        <v>0</v>
      </c>
      <c r="P102" s="4">
        <f t="shared" si="11"/>
        <v>4163.8335089885131</v>
      </c>
      <c r="T102" s="9">
        <f t="shared" si="12"/>
        <v>47143</v>
      </c>
      <c r="U102" s="5">
        <f t="shared" si="15"/>
        <v>4163.83</v>
      </c>
    </row>
    <row r="103" spans="2:21">
      <c r="B103" s="16">
        <f t="shared" si="16"/>
        <v>86</v>
      </c>
      <c r="C103" s="9">
        <f t="shared" si="17"/>
        <v>47174</v>
      </c>
      <c r="D103" s="6">
        <f>IFERROR((PPMT(Input!$E$55/12,B103,$C$6,Input!$E$54,-Input!$E$65,0))," ")</f>
        <v>-1448.2043157597313</v>
      </c>
      <c r="E103" s="6">
        <f>IFERROR(((IPMT(Input!$E$55/12,B103,$C$6,Input!$E$54,-Input!$E$65,0)))," ")</f>
        <v>-2715.6291932287827</v>
      </c>
      <c r="F103" s="6">
        <f t="shared" si="19"/>
        <v>-114743.9354329772</v>
      </c>
      <c r="G103" s="6">
        <f t="shared" si="18"/>
        <v>-243345.74634003491</v>
      </c>
      <c r="H103" s="6">
        <f t="shared" si="13"/>
        <v>-4163.833508988514</v>
      </c>
      <c r="I103" s="6">
        <f t="shared" si="14"/>
        <v>1385256.0645670227</v>
      </c>
      <c r="J103" s="6" t="str">
        <f>IF(B103&lt;&gt;"",IF(AND(Input!$H$54="Annual",MOD(B103,12)=0),Input!$J$54,IF(AND(Input!$H$54="1st Installment",B103=1),Input!$J$54,IF(Input!$H$54="Monthly",Input!$J$54,""))),"")</f>
        <v/>
      </c>
      <c r="K103" s="6">
        <f>IF(B103&lt;&gt;"",IF(AND(Input!$H$55="Annual",MOD(B103,12)=0),Input!$J$55,IF(AND(Input!$H$55="1st Installment",B103=1),Input!$J$55,IF(Input!$H$55="Monthly",Input!$J$55,""))),"")</f>
        <v>0</v>
      </c>
      <c r="L103" s="6" t="str">
        <f>IF(B103&lt;&gt;"",IF(AND(Input!$H$56="Annual",MOD(B103,12)=0),Input!$J$56,IF(AND(Input!$H$56="1st Installment",B103=1),Input!$J$56,IF(Input!$H$56="Monthly",Input!$J$56,""))),"")</f>
        <v/>
      </c>
      <c r="M103" s="6" t="str">
        <f>IF(B103&lt;&gt;"",IF(AND(Input!$H$57="Annual",MOD(B103,12)=0),Input!$J$57,IF(AND(Input!$H$57="1st Installment",B103=1),Input!$J$57,IF(Input!$H$57="Monthly",Input!$J$57,""))),"")</f>
        <v/>
      </c>
      <c r="N103" s="6" t="str">
        <f>IF(B103&lt;&gt;"",IF(AND(Input!$H$58="Annual",MOD(B103,12)=0),Input!$J$58,IF(AND(Input!$H$58="1st Installment",B103=1),Input!$J$58,IF(Input!$H$58="Monthly",Input!$J$58,IF(AND(Input!$H$58="End of the loan",B103=Input!$E$58),Input!$J$58,"")))),"")</f>
        <v/>
      </c>
      <c r="O103" s="6">
        <f t="shared" si="10"/>
        <v>0</v>
      </c>
      <c r="P103" s="4">
        <f t="shared" si="11"/>
        <v>4163.833508988514</v>
      </c>
      <c r="T103" s="9">
        <f t="shared" si="12"/>
        <v>47174</v>
      </c>
      <c r="U103" s="5">
        <f t="shared" si="15"/>
        <v>4163.83</v>
      </c>
    </row>
    <row r="104" spans="2:21">
      <c r="B104" s="16">
        <f t="shared" si="16"/>
        <v>87</v>
      </c>
      <c r="C104" s="9">
        <f t="shared" si="17"/>
        <v>47202</v>
      </c>
      <c r="D104" s="6">
        <f>IFERROR((PPMT(Input!$E$55/12,B104,$C$6,Input!$E$54,-Input!$E$65,0))," ")</f>
        <v>-1451.0403825447606</v>
      </c>
      <c r="E104" s="6">
        <f>IFERROR(((IPMT(Input!$E$55/12,B104,$C$6,Input!$E$54,-Input!$E$65,0)))," ")</f>
        <v>-2712.793126443753</v>
      </c>
      <c r="F104" s="6">
        <f t="shared" si="19"/>
        <v>-116194.97581552196</v>
      </c>
      <c r="G104" s="6">
        <f t="shared" si="18"/>
        <v>-246058.53946647866</v>
      </c>
      <c r="H104" s="6">
        <f t="shared" si="13"/>
        <v>-4163.8335089885131</v>
      </c>
      <c r="I104" s="6">
        <f t="shared" si="14"/>
        <v>1383805.024184478</v>
      </c>
      <c r="J104" s="6" t="str">
        <f>IF(B104&lt;&gt;"",IF(AND(Input!$H$54="Annual",MOD(B104,12)=0),Input!$J$54,IF(AND(Input!$H$54="1st Installment",B104=1),Input!$J$54,IF(Input!$H$54="Monthly",Input!$J$54,""))),"")</f>
        <v/>
      </c>
      <c r="K104" s="6">
        <f>IF(B104&lt;&gt;"",IF(AND(Input!$H$55="Annual",MOD(B104,12)=0),Input!$J$55,IF(AND(Input!$H$55="1st Installment",B104=1),Input!$J$55,IF(Input!$H$55="Monthly",Input!$J$55,""))),"")</f>
        <v>0</v>
      </c>
      <c r="L104" s="6" t="str">
        <f>IF(B104&lt;&gt;"",IF(AND(Input!$H$56="Annual",MOD(B104,12)=0),Input!$J$56,IF(AND(Input!$H$56="1st Installment",B104=1),Input!$J$56,IF(Input!$H$56="Monthly",Input!$J$56,""))),"")</f>
        <v/>
      </c>
      <c r="M104" s="6" t="str">
        <f>IF(B104&lt;&gt;"",IF(AND(Input!$H$57="Annual",MOD(B104,12)=0),Input!$J$57,IF(AND(Input!$H$57="1st Installment",B104=1),Input!$J$57,IF(Input!$H$57="Monthly",Input!$J$57,""))),"")</f>
        <v/>
      </c>
      <c r="N104" s="6" t="str">
        <f>IF(B104&lt;&gt;"",IF(AND(Input!$H$58="Annual",MOD(B104,12)=0),Input!$J$58,IF(AND(Input!$H$58="1st Installment",B104=1),Input!$J$58,IF(Input!$H$58="Monthly",Input!$J$58,IF(AND(Input!$H$58="End of the loan",B104=Input!$E$58),Input!$J$58,"")))),"")</f>
        <v/>
      </c>
      <c r="O104" s="6">
        <f t="shared" si="10"/>
        <v>0</v>
      </c>
      <c r="P104" s="4">
        <f t="shared" si="11"/>
        <v>4163.8335089885131</v>
      </c>
      <c r="T104" s="9">
        <f t="shared" si="12"/>
        <v>47202</v>
      </c>
      <c r="U104" s="5">
        <f t="shared" si="15"/>
        <v>4163.83</v>
      </c>
    </row>
    <row r="105" spans="2:21">
      <c r="B105" s="16">
        <f t="shared" si="16"/>
        <v>88</v>
      </c>
      <c r="C105" s="9">
        <f t="shared" si="17"/>
        <v>47233</v>
      </c>
      <c r="D105" s="6">
        <f>IFERROR((PPMT(Input!$E$55/12,B105,$C$6,Input!$E$54,-Input!$E$65,0))," ")</f>
        <v>-1453.8820032939109</v>
      </c>
      <c r="E105" s="6">
        <f>IFERROR(((IPMT(Input!$E$55/12,B105,$C$6,Input!$E$54,-Input!$E$65,0)))," ")</f>
        <v>-2709.9515056946029</v>
      </c>
      <c r="F105" s="6">
        <f t="shared" si="19"/>
        <v>-117648.85781881587</v>
      </c>
      <c r="G105" s="6">
        <f t="shared" si="18"/>
        <v>-248768.49097217325</v>
      </c>
      <c r="H105" s="6">
        <f t="shared" si="13"/>
        <v>-4163.833508988514</v>
      </c>
      <c r="I105" s="6">
        <f t="shared" si="14"/>
        <v>1382351.1421811841</v>
      </c>
      <c r="J105" s="6" t="str">
        <f>IF(B105&lt;&gt;"",IF(AND(Input!$H$54="Annual",MOD(B105,12)=0),Input!$J$54,IF(AND(Input!$H$54="1st Installment",B105=1),Input!$J$54,IF(Input!$H$54="Monthly",Input!$J$54,""))),"")</f>
        <v/>
      </c>
      <c r="K105" s="6">
        <f>IF(B105&lt;&gt;"",IF(AND(Input!$H$55="Annual",MOD(B105,12)=0),Input!$J$55,IF(AND(Input!$H$55="1st Installment",B105=1),Input!$J$55,IF(Input!$H$55="Monthly",Input!$J$55,""))),"")</f>
        <v>0</v>
      </c>
      <c r="L105" s="6" t="str">
        <f>IF(B105&lt;&gt;"",IF(AND(Input!$H$56="Annual",MOD(B105,12)=0),Input!$J$56,IF(AND(Input!$H$56="1st Installment",B105=1),Input!$J$56,IF(Input!$H$56="Monthly",Input!$J$56,""))),"")</f>
        <v/>
      </c>
      <c r="M105" s="6" t="str">
        <f>IF(B105&lt;&gt;"",IF(AND(Input!$H$57="Annual",MOD(B105,12)=0),Input!$J$57,IF(AND(Input!$H$57="1st Installment",B105=1),Input!$J$57,IF(Input!$H$57="Monthly",Input!$J$57,""))),"")</f>
        <v/>
      </c>
      <c r="N105" s="6" t="str">
        <f>IF(B105&lt;&gt;"",IF(AND(Input!$H$58="Annual",MOD(B105,12)=0),Input!$J$58,IF(AND(Input!$H$58="1st Installment",B105=1),Input!$J$58,IF(Input!$H$58="Monthly",Input!$J$58,IF(AND(Input!$H$58="End of the loan",B105=Input!$E$58),Input!$J$58,"")))),"")</f>
        <v/>
      </c>
      <c r="O105" s="6">
        <f t="shared" si="10"/>
        <v>0</v>
      </c>
      <c r="P105" s="4">
        <f t="shared" si="11"/>
        <v>4163.833508988514</v>
      </c>
      <c r="T105" s="9">
        <f t="shared" si="12"/>
        <v>47233</v>
      </c>
      <c r="U105" s="5">
        <f t="shared" si="15"/>
        <v>4163.83</v>
      </c>
    </row>
    <row r="106" spans="2:21">
      <c r="B106" s="16">
        <f t="shared" si="16"/>
        <v>89</v>
      </c>
      <c r="C106" s="9">
        <f t="shared" si="17"/>
        <v>47263</v>
      </c>
      <c r="D106" s="6">
        <f>IFERROR((PPMT(Input!$E$55/12,B106,$C$6,Input!$E$54,-Input!$E$65,0))," ")</f>
        <v>-1456.7291888836949</v>
      </c>
      <c r="E106" s="6">
        <f>IFERROR(((IPMT(Input!$E$55/12,B106,$C$6,Input!$E$54,-Input!$E$65,0)))," ")</f>
        <v>-2707.1043201048187</v>
      </c>
      <c r="F106" s="6">
        <f t="shared" si="19"/>
        <v>-119105.58700769956</v>
      </c>
      <c r="G106" s="6">
        <f t="shared" si="18"/>
        <v>-251475.59529227807</v>
      </c>
      <c r="H106" s="6">
        <f t="shared" si="13"/>
        <v>-4163.8335089885131</v>
      </c>
      <c r="I106" s="6">
        <f t="shared" si="14"/>
        <v>1380894.4129923005</v>
      </c>
      <c r="J106" s="6" t="str">
        <f>IF(B106&lt;&gt;"",IF(AND(Input!$H$54="Annual",MOD(B106,12)=0),Input!$J$54,IF(AND(Input!$H$54="1st Installment",B106=1),Input!$J$54,IF(Input!$H$54="Monthly",Input!$J$54,""))),"")</f>
        <v/>
      </c>
      <c r="K106" s="6">
        <f>IF(B106&lt;&gt;"",IF(AND(Input!$H$55="Annual",MOD(B106,12)=0),Input!$J$55,IF(AND(Input!$H$55="1st Installment",B106=1),Input!$J$55,IF(Input!$H$55="Monthly",Input!$J$55,""))),"")</f>
        <v>0</v>
      </c>
      <c r="L106" s="6" t="str">
        <f>IF(B106&lt;&gt;"",IF(AND(Input!$H$56="Annual",MOD(B106,12)=0),Input!$J$56,IF(AND(Input!$H$56="1st Installment",B106=1),Input!$J$56,IF(Input!$H$56="Monthly",Input!$J$56,""))),"")</f>
        <v/>
      </c>
      <c r="M106" s="6" t="str">
        <f>IF(B106&lt;&gt;"",IF(AND(Input!$H$57="Annual",MOD(B106,12)=0),Input!$J$57,IF(AND(Input!$H$57="1st Installment",B106=1),Input!$J$57,IF(Input!$H$57="Monthly",Input!$J$57,""))),"")</f>
        <v/>
      </c>
      <c r="N106" s="6" t="str">
        <f>IF(B106&lt;&gt;"",IF(AND(Input!$H$58="Annual",MOD(B106,12)=0),Input!$J$58,IF(AND(Input!$H$58="1st Installment",B106=1),Input!$J$58,IF(Input!$H$58="Monthly",Input!$J$58,IF(AND(Input!$H$58="End of the loan",B106=Input!$E$58),Input!$J$58,"")))),"")</f>
        <v/>
      </c>
      <c r="O106" s="6">
        <f t="shared" si="10"/>
        <v>0</v>
      </c>
      <c r="P106" s="4">
        <f t="shared" si="11"/>
        <v>4163.8335089885131</v>
      </c>
      <c r="T106" s="9">
        <f t="shared" si="12"/>
        <v>47263</v>
      </c>
      <c r="U106" s="5">
        <f t="shared" si="15"/>
        <v>4163.83</v>
      </c>
    </row>
    <row r="107" spans="2:21">
      <c r="B107" s="16">
        <f t="shared" si="16"/>
        <v>90</v>
      </c>
      <c r="C107" s="9">
        <f t="shared" si="17"/>
        <v>47294</v>
      </c>
      <c r="D107" s="6">
        <f>IFERROR((PPMT(Input!$E$55/12,B107,$C$6,Input!$E$54,-Input!$E$65,0))," ")</f>
        <v>-1459.5819502119255</v>
      </c>
      <c r="E107" s="6">
        <f>IFERROR(((IPMT(Input!$E$55/12,B107,$C$6,Input!$E$54,-Input!$E$65,0)))," ")</f>
        <v>-2704.2515587765884</v>
      </c>
      <c r="F107" s="6">
        <f t="shared" si="19"/>
        <v>-120565.16895791149</v>
      </c>
      <c r="G107" s="6">
        <f t="shared" si="18"/>
        <v>-254179.84685105467</v>
      </c>
      <c r="H107" s="6">
        <f t="shared" si="13"/>
        <v>-4163.833508988514</v>
      </c>
      <c r="I107" s="6">
        <f t="shared" si="14"/>
        <v>1379434.8310420886</v>
      </c>
      <c r="J107" s="6" t="str">
        <f>IF(B107&lt;&gt;"",IF(AND(Input!$H$54="Annual",MOD(B107,12)=0),Input!$J$54,IF(AND(Input!$H$54="1st Installment",B107=1),Input!$J$54,IF(Input!$H$54="Monthly",Input!$J$54,""))),"")</f>
        <v/>
      </c>
      <c r="K107" s="6">
        <f>IF(B107&lt;&gt;"",IF(AND(Input!$H$55="Annual",MOD(B107,12)=0),Input!$J$55,IF(AND(Input!$H$55="1st Installment",B107=1),Input!$J$55,IF(Input!$H$55="Monthly",Input!$J$55,""))),"")</f>
        <v>0</v>
      </c>
      <c r="L107" s="6" t="str">
        <f>IF(B107&lt;&gt;"",IF(AND(Input!$H$56="Annual",MOD(B107,12)=0),Input!$J$56,IF(AND(Input!$H$56="1st Installment",B107=1),Input!$J$56,IF(Input!$H$56="Monthly",Input!$J$56,""))),"")</f>
        <v/>
      </c>
      <c r="M107" s="6" t="str">
        <f>IF(B107&lt;&gt;"",IF(AND(Input!$H$57="Annual",MOD(B107,12)=0),Input!$J$57,IF(AND(Input!$H$57="1st Installment",B107=1),Input!$J$57,IF(Input!$H$57="Monthly",Input!$J$57,""))),"")</f>
        <v/>
      </c>
      <c r="N107" s="6" t="str">
        <f>IF(B107&lt;&gt;"",IF(AND(Input!$H$58="Annual",MOD(B107,12)=0),Input!$J$58,IF(AND(Input!$H$58="1st Installment",B107=1),Input!$J$58,IF(Input!$H$58="Monthly",Input!$J$58,IF(AND(Input!$H$58="End of the loan",B107=Input!$E$58),Input!$J$58,"")))),"")</f>
        <v/>
      </c>
      <c r="O107" s="6">
        <f t="shared" si="10"/>
        <v>0</v>
      </c>
      <c r="P107" s="4">
        <f t="shared" si="11"/>
        <v>4163.833508988514</v>
      </c>
      <c r="T107" s="9">
        <f t="shared" si="12"/>
        <v>47294</v>
      </c>
      <c r="U107" s="5">
        <f t="shared" si="15"/>
        <v>4163.83</v>
      </c>
    </row>
    <row r="108" spans="2:21">
      <c r="B108" s="16">
        <f t="shared" si="16"/>
        <v>91</v>
      </c>
      <c r="C108" s="9">
        <f t="shared" si="17"/>
        <v>47324</v>
      </c>
      <c r="D108" s="6">
        <f>IFERROR((PPMT(Input!$E$55/12,B108,$C$6,Input!$E$54,-Input!$E$65,0))," ")</f>
        <v>-1462.4402981977571</v>
      </c>
      <c r="E108" s="6">
        <f>IFERROR(((IPMT(Input!$E$55/12,B108,$C$6,Input!$E$54,-Input!$E$65,0)))," ")</f>
        <v>-2701.3932107907567</v>
      </c>
      <c r="F108" s="6">
        <f t="shared" si="19"/>
        <v>-122027.60925610925</v>
      </c>
      <c r="G108" s="6">
        <f t="shared" si="18"/>
        <v>-256881.24006184543</v>
      </c>
      <c r="H108" s="6">
        <f t="shared" si="13"/>
        <v>-4163.833508988514</v>
      </c>
      <c r="I108" s="6">
        <f t="shared" si="14"/>
        <v>1377972.3907438908</v>
      </c>
      <c r="J108" s="6" t="str">
        <f>IF(B108&lt;&gt;"",IF(AND(Input!$H$54="Annual",MOD(B108,12)=0),Input!$J$54,IF(AND(Input!$H$54="1st Installment",B108=1),Input!$J$54,IF(Input!$H$54="Monthly",Input!$J$54,""))),"")</f>
        <v/>
      </c>
      <c r="K108" s="6">
        <f>IF(B108&lt;&gt;"",IF(AND(Input!$H$55="Annual",MOD(B108,12)=0),Input!$J$55,IF(AND(Input!$H$55="1st Installment",B108=1),Input!$J$55,IF(Input!$H$55="Monthly",Input!$J$55,""))),"")</f>
        <v>0</v>
      </c>
      <c r="L108" s="6" t="str">
        <f>IF(B108&lt;&gt;"",IF(AND(Input!$H$56="Annual",MOD(B108,12)=0),Input!$J$56,IF(AND(Input!$H$56="1st Installment",B108=1),Input!$J$56,IF(Input!$H$56="Monthly",Input!$J$56,""))),"")</f>
        <v/>
      </c>
      <c r="M108" s="6" t="str">
        <f>IF(B108&lt;&gt;"",IF(AND(Input!$H$57="Annual",MOD(B108,12)=0),Input!$J$57,IF(AND(Input!$H$57="1st Installment",B108=1),Input!$J$57,IF(Input!$H$57="Monthly",Input!$J$57,""))),"")</f>
        <v/>
      </c>
      <c r="N108" s="6" t="str">
        <f>IF(B108&lt;&gt;"",IF(AND(Input!$H$58="Annual",MOD(B108,12)=0),Input!$J$58,IF(AND(Input!$H$58="1st Installment",B108=1),Input!$J$58,IF(Input!$H$58="Monthly",Input!$J$58,IF(AND(Input!$H$58="End of the loan",B108=Input!$E$58),Input!$J$58,"")))),"")</f>
        <v/>
      </c>
      <c r="O108" s="6">
        <f t="shared" si="10"/>
        <v>0</v>
      </c>
      <c r="P108" s="4">
        <f t="shared" si="11"/>
        <v>4163.833508988514</v>
      </c>
      <c r="T108" s="9">
        <f t="shared" si="12"/>
        <v>47324</v>
      </c>
      <c r="U108" s="5">
        <f t="shared" si="15"/>
        <v>4163.83</v>
      </c>
    </row>
    <row r="109" spans="2:21">
      <c r="B109" s="16">
        <f t="shared" si="16"/>
        <v>92</v>
      </c>
      <c r="C109" s="9">
        <f t="shared" si="17"/>
        <v>47355</v>
      </c>
      <c r="D109" s="6">
        <f>IFERROR((PPMT(Input!$E$55/12,B109,$C$6,Input!$E$54,-Input!$E$65,0))," ")</f>
        <v>-1465.3042437817276</v>
      </c>
      <c r="E109" s="6">
        <f>IFERROR(((IPMT(Input!$E$55/12,B109,$C$6,Input!$E$54,-Input!$E$65,0)))," ")</f>
        <v>-2698.529265206786</v>
      </c>
      <c r="F109" s="6">
        <f t="shared" si="19"/>
        <v>-123492.91349989097</v>
      </c>
      <c r="G109" s="6">
        <f t="shared" si="18"/>
        <v>-259579.7693270522</v>
      </c>
      <c r="H109" s="6">
        <f t="shared" si="13"/>
        <v>-4163.8335089885131</v>
      </c>
      <c r="I109" s="6">
        <f t="shared" si="14"/>
        <v>1376507.0865001089</v>
      </c>
      <c r="J109" s="6" t="str">
        <f>IF(B109&lt;&gt;"",IF(AND(Input!$H$54="Annual",MOD(B109,12)=0),Input!$J$54,IF(AND(Input!$H$54="1st Installment",B109=1),Input!$J$54,IF(Input!$H$54="Monthly",Input!$J$54,""))),"")</f>
        <v/>
      </c>
      <c r="K109" s="6">
        <f>IF(B109&lt;&gt;"",IF(AND(Input!$H$55="Annual",MOD(B109,12)=0),Input!$J$55,IF(AND(Input!$H$55="1st Installment",B109=1),Input!$J$55,IF(Input!$H$55="Monthly",Input!$J$55,""))),"")</f>
        <v>0</v>
      </c>
      <c r="L109" s="6" t="str">
        <f>IF(B109&lt;&gt;"",IF(AND(Input!$H$56="Annual",MOD(B109,12)=0),Input!$J$56,IF(AND(Input!$H$56="1st Installment",B109=1),Input!$J$56,IF(Input!$H$56="Monthly",Input!$J$56,""))),"")</f>
        <v/>
      </c>
      <c r="M109" s="6" t="str">
        <f>IF(B109&lt;&gt;"",IF(AND(Input!$H$57="Annual",MOD(B109,12)=0),Input!$J$57,IF(AND(Input!$H$57="1st Installment",B109=1),Input!$J$57,IF(Input!$H$57="Monthly",Input!$J$57,""))),"")</f>
        <v/>
      </c>
      <c r="N109" s="6" t="str">
        <f>IF(B109&lt;&gt;"",IF(AND(Input!$H$58="Annual",MOD(B109,12)=0),Input!$J$58,IF(AND(Input!$H$58="1st Installment",B109=1),Input!$J$58,IF(Input!$H$58="Monthly",Input!$J$58,IF(AND(Input!$H$58="End of the loan",B109=Input!$E$58),Input!$J$58,"")))),"")</f>
        <v/>
      </c>
      <c r="O109" s="6">
        <f t="shared" si="10"/>
        <v>0</v>
      </c>
      <c r="P109" s="4">
        <f t="shared" si="11"/>
        <v>4163.8335089885131</v>
      </c>
      <c r="T109" s="9">
        <f t="shared" si="12"/>
        <v>47355</v>
      </c>
      <c r="U109" s="5">
        <f t="shared" si="15"/>
        <v>4163.83</v>
      </c>
    </row>
    <row r="110" spans="2:21">
      <c r="B110" s="16">
        <f t="shared" si="16"/>
        <v>93</v>
      </c>
      <c r="C110" s="9">
        <f t="shared" si="17"/>
        <v>47386</v>
      </c>
      <c r="D110" s="6">
        <f>IFERROR((PPMT(Input!$E$55/12,B110,$C$6,Input!$E$54,-Input!$E$65,0))," ")</f>
        <v>-1468.1737979258003</v>
      </c>
      <c r="E110" s="6">
        <f>IFERROR(((IPMT(Input!$E$55/12,B110,$C$6,Input!$E$54,-Input!$E$65,0)))," ")</f>
        <v>-2695.6597110627135</v>
      </c>
      <c r="F110" s="6">
        <f t="shared" si="19"/>
        <v>-124961.08729781678</v>
      </c>
      <c r="G110" s="6">
        <f t="shared" si="18"/>
        <v>-262275.4290381149</v>
      </c>
      <c r="H110" s="6">
        <f t="shared" si="13"/>
        <v>-4163.833508988514</v>
      </c>
      <c r="I110" s="6">
        <f t="shared" si="14"/>
        <v>1375038.9127021832</v>
      </c>
      <c r="J110" s="6" t="str">
        <f>IF(B110&lt;&gt;"",IF(AND(Input!$H$54="Annual",MOD(B110,12)=0),Input!$J$54,IF(AND(Input!$H$54="1st Installment",B110=1),Input!$J$54,IF(Input!$H$54="Monthly",Input!$J$54,""))),"")</f>
        <v/>
      </c>
      <c r="K110" s="6">
        <f>IF(B110&lt;&gt;"",IF(AND(Input!$H$55="Annual",MOD(B110,12)=0),Input!$J$55,IF(AND(Input!$H$55="1st Installment",B110=1),Input!$J$55,IF(Input!$H$55="Monthly",Input!$J$55,""))),"")</f>
        <v>0</v>
      </c>
      <c r="L110" s="6" t="str">
        <f>IF(B110&lt;&gt;"",IF(AND(Input!$H$56="Annual",MOD(B110,12)=0),Input!$J$56,IF(AND(Input!$H$56="1st Installment",B110=1),Input!$J$56,IF(Input!$H$56="Monthly",Input!$J$56,""))),"")</f>
        <v/>
      </c>
      <c r="M110" s="6" t="str">
        <f>IF(B110&lt;&gt;"",IF(AND(Input!$H$57="Annual",MOD(B110,12)=0),Input!$J$57,IF(AND(Input!$H$57="1st Installment",B110=1),Input!$J$57,IF(Input!$H$57="Monthly",Input!$J$57,""))),"")</f>
        <v/>
      </c>
      <c r="N110" s="6" t="str">
        <f>IF(B110&lt;&gt;"",IF(AND(Input!$H$58="Annual",MOD(B110,12)=0),Input!$J$58,IF(AND(Input!$H$58="1st Installment",B110=1),Input!$J$58,IF(Input!$H$58="Monthly",Input!$J$58,IF(AND(Input!$H$58="End of the loan",B110=Input!$E$58),Input!$J$58,"")))),"")</f>
        <v/>
      </c>
      <c r="O110" s="6">
        <f t="shared" si="10"/>
        <v>0</v>
      </c>
      <c r="P110" s="4">
        <f t="shared" si="11"/>
        <v>4163.833508988514</v>
      </c>
      <c r="T110" s="9">
        <f t="shared" si="12"/>
        <v>47386</v>
      </c>
      <c r="U110" s="5">
        <f t="shared" si="15"/>
        <v>4163.83</v>
      </c>
    </row>
    <row r="111" spans="2:21">
      <c r="B111" s="16">
        <f t="shared" si="16"/>
        <v>94</v>
      </c>
      <c r="C111" s="9">
        <f t="shared" si="17"/>
        <v>47416</v>
      </c>
      <c r="D111" s="6">
        <f>IFERROR((PPMT(Input!$E$55/12,B111,$C$6,Input!$E$54,-Input!$E$65,0))," ")</f>
        <v>-1471.0489716134048</v>
      </c>
      <c r="E111" s="6">
        <f>IFERROR(((IPMT(Input!$E$55/12,B111,$C$6,Input!$E$54,-Input!$E$65,0)))," ")</f>
        <v>-2692.7845373751088</v>
      </c>
      <c r="F111" s="6">
        <f t="shared" si="19"/>
        <v>-126432.13626943018</v>
      </c>
      <c r="G111" s="6">
        <f t="shared" si="18"/>
        <v>-264968.21357548999</v>
      </c>
      <c r="H111" s="6">
        <f t="shared" si="13"/>
        <v>-4163.8335089885131</v>
      </c>
      <c r="I111" s="6">
        <f t="shared" si="14"/>
        <v>1373567.8637305698</v>
      </c>
      <c r="J111" s="6" t="str">
        <f>IF(B111&lt;&gt;"",IF(AND(Input!$H$54="Annual",MOD(B111,12)=0),Input!$J$54,IF(AND(Input!$H$54="1st Installment",B111=1),Input!$J$54,IF(Input!$H$54="Monthly",Input!$J$54,""))),"")</f>
        <v/>
      </c>
      <c r="K111" s="6">
        <f>IF(B111&lt;&gt;"",IF(AND(Input!$H$55="Annual",MOD(B111,12)=0),Input!$J$55,IF(AND(Input!$H$55="1st Installment",B111=1),Input!$J$55,IF(Input!$H$55="Monthly",Input!$J$55,""))),"")</f>
        <v>0</v>
      </c>
      <c r="L111" s="6" t="str">
        <f>IF(B111&lt;&gt;"",IF(AND(Input!$H$56="Annual",MOD(B111,12)=0),Input!$J$56,IF(AND(Input!$H$56="1st Installment",B111=1),Input!$J$56,IF(Input!$H$56="Monthly",Input!$J$56,""))),"")</f>
        <v/>
      </c>
      <c r="M111" s="6" t="str">
        <f>IF(B111&lt;&gt;"",IF(AND(Input!$H$57="Annual",MOD(B111,12)=0),Input!$J$57,IF(AND(Input!$H$57="1st Installment",B111=1),Input!$J$57,IF(Input!$H$57="Monthly",Input!$J$57,""))),"")</f>
        <v/>
      </c>
      <c r="N111" s="6" t="str">
        <f>IF(B111&lt;&gt;"",IF(AND(Input!$H$58="Annual",MOD(B111,12)=0),Input!$J$58,IF(AND(Input!$H$58="1st Installment",B111=1),Input!$J$58,IF(Input!$H$58="Monthly",Input!$J$58,IF(AND(Input!$H$58="End of the loan",B111=Input!$E$58),Input!$J$58,"")))),"")</f>
        <v/>
      </c>
      <c r="O111" s="6">
        <f t="shared" si="10"/>
        <v>0</v>
      </c>
      <c r="P111" s="4">
        <f t="shared" si="11"/>
        <v>4163.8335089885131</v>
      </c>
      <c r="T111" s="9">
        <f t="shared" si="12"/>
        <v>47416</v>
      </c>
      <c r="U111" s="5">
        <f t="shared" si="15"/>
        <v>4163.83</v>
      </c>
    </row>
    <row r="112" spans="2:21">
      <c r="B112" s="16">
        <f t="shared" si="16"/>
        <v>95</v>
      </c>
      <c r="C112" s="9">
        <f t="shared" si="17"/>
        <v>47447</v>
      </c>
      <c r="D112" s="6">
        <f>IFERROR((PPMT(Input!$E$55/12,B112,$C$6,Input!$E$54,-Input!$E$65,0))," ")</f>
        <v>-1473.9297758494811</v>
      </c>
      <c r="E112" s="6">
        <f>IFERROR(((IPMT(Input!$E$55/12,B112,$C$6,Input!$E$54,-Input!$E$65,0)))," ")</f>
        <v>-2689.9037331390323</v>
      </c>
      <c r="F112" s="6">
        <f t="shared" si="19"/>
        <v>-127906.06604527966</v>
      </c>
      <c r="G112" s="6">
        <f t="shared" si="18"/>
        <v>-267658.11730862904</v>
      </c>
      <c r="H112" s="6">
        <f t="shared" si="13"/>
        <v>-4163.8335089885131</v>
      </c>
      <c r="I112" s="6">
        <f t="shared" si="14"/>
        <v>1372093.9339547204</v>
      </c>
      <c r="J112" s="6" t="str">
        <f>IF(B112&lt;&gt;"",IF(AND(Input!$H$54="Annual",MOD(B112,12)=0),Input!$J$54,IF(AND(Input!$H$54="1st Installment",B112=1),Input!$J$54,IF(Input!$H$54="Monthly",Input!$J$54,""))),"")</f>
        <v/>
      </c>
      <c r="K112" s="6">
        <f>IF(B112&lt;&gt;"",IF(AND(Input!$H$55="Annual",MOD(B112,12)=0),Input!$J$55,IF(AND(Input!$H$55="1st Installment",B112=1),Input!$J$55,IF(Input!$H$55="Monthly",Input!$J$55,""))),"")</f>
        <v>0</v>
      </c>
      <c r="L112" s="6" t="str">
        <f>IF(B112&lt;&gt;"",IF(AND(Input!$H$56="Annual",MOD(B112,12)=0),Input!$J$56,IF(AND(Input!$H$56="1st Installment",B112=1),Input!$J$56,IF(Input!$H$56="Monthly",Input!$J$56,""))),"")</f>
        <v/>
      </c>
      <c r="M112" s="6" t="str">
        <f>IF(B112&lt;&gt;"",IF(AND(Input!$H$57="Annual",MOD(B112,12)=0),Input!$J$57,IF(AND(Input!$H$57="1st Installment",B112=1),Input!$J$57,IF(Input!$H$57="Monthly",Input!$J$57,""))),"")</f>
        <v/>
      </c>
      <c r="N112" s="6" t="str">
        <f>IF(B112&lt;&gt;"",IF(AND(Input!$H$58="Annual",MOD(B112,12)=0),Input!$J$58,IF(AND(Input!$H$58="1st Installment",B112=1),Input!$J$58,IF(Input!$H$58="Monthly",Input!$J$58,IF(AND(Input!$H$58="End of the loan",B112=Input!$E$58),Input!$J$58,"")))),"")</f>
        <v/>
      </c>
      <c r="O112" s="6">
        <f t="shared" si="10"/>
        <v>0</v>
      </c>
      <c r="P112" s="4">
        <f t="shared" si="11"/>
        <v>4163.8335089885131</v>
      </c>
      <c r="T112" s="9">
        <f t="shared" si="12"/>
        <v>47447</v>
      </c>
      <c r="U112" s="5">
        <f t="shared" si="15"/>
        <v>4163.83</v>
      </c>
    </row>
    <row r="113" spans="2:21">
      <c r="B113" s="16">
        <f t="shared" si="16"/>
        <v>96</v>
      </c>
      <c r="C113" s="9">
        <f t="shared" si="17"/>
        <v>47477</v>
      </c>
      <c r="D113" s="6">
        <f>IFERROR((PPMT(Input!$E$55/12,B113,$C$6,Input!$E$54,-Input!$E$65,0))," ")</f>
        <v>-1476.8162216605199</v>
      </c>
      <c r="E113" s="6">
        <f>IFERROR(((IPMT(Input!$E$55/12,B113,$C$6,Input!$E$54,-Input!$E$65,0)))," ")</f>
        <v>-2687.0172873279939</v>
      </c>
      <c r="F113" s="6">
        <f t="shared" si="19"/>
        <v>-129382.88226694019</v>
      </c>
      <c r="G113" s="6">
        <f t="shared" si="18"/>
        <v>-270345.134595957</v>
      </c>
      <c r="H113" s="6">
        <f t="shared" si="13"/>
        <v>-4163.833508988514</v>
      </c>
      <c r="I113" s="6">
        <f t="shared" si="14"/>
        <v>1370617.1177330599</v>
      </c>
      <c r="J113" s="6" t="str">
        <f>IF(B113&lt;&gt;"",IF(AND(Input!$H$54="Annual",MOD(B113,12)=0),Input!$J$54,IF(AND(Input!$H$54="1st Installment",B113=1),Input!$J$54,IF(Input!$H$54="Monthly",Input!$J$54,""))),"")</f>
        <v/>
      </c>
      <c r="K113" s="6">
        <f>IF(B113&lt;&gt;"",IF(AND(Input!$H$55="Annual",MOD(B113,12)=0),Input!$J$55,IF(AND(Input!$H$55="1st Installment",B113=1),Input!$J$55,IF(Input!$H$55="Monthly",Input!$J$55,""))),"")</f>
        <v>0</v>
      </c>
      <c r="L113" s="6" t="str">
        <f>IF(B113&lt;&gt;"",IF(AND(Input!$H$56="Annual",MOD(B113,12)=0),Input!$J$56,IF(AND(Input!$H$56="1st Installment",B113=1),Input!$J$56,IF(Input!$H$56="Monthly",Input!$J$56,""))),"")</f>
        <v/>
      </c>
      <c r="M113" s="6" t="str">
        <f>IF(B113&lt;&gt;"",IF(AND(Input!$H$57="Annual",MOD(B113,12)=0),Input!$J$57,IF(AND(Input!$H$57="1st Installment",B113=1),Input!$J$57,IF(Input!$H$57="Monthly",Input!$J$57,""))),"")</f>
        <v/>
      </c>
      <c r="N113" s="6" t="str">
        <f>IF(B113&lt;&gt;"",IF(AND(Input!$H$58="Annual",MOD(B113,12)=0),Input!$J$58,IF(AND(Input!$H$58="1st Installment",B113=1),Input!$J$58,IF(Input!$H$58="Monthly",Input!$J$58,IF(AND(Input!$H$58="End of the loan",B113=Input!$E$58),Input!$J$58,"")))),"")</f>
        <v/>
      </c>
      <c r="O113" s="6">
        <f t="shared" si="10"/>
        <v>0</v>
      </c>
      <c r="P113" s="4">
        <f t="shared" si="11"/>
        <v>4163.833508988514</v>
      </c>
      <c r="T113" s="9">
        <f t="shared" si="12"/>
        <v>47477</v>
      </c>
      <c r="U113" s="5">
        <f t="shared" si="15"/>
        <v>4163.83</v>
      </c>
    </row>
    <row r="114" spans="2:21">
      <c r="B114" s="16">
        <f t="shared" si="16"/>
        <v>97</v>
      </c>
      <c r="C114" s="9">
        <f t="shared" si="17"/>
        <v>47508</v>
      </c>
      <c r="D114" s="6">
        <f>IFERROR((PPMT(Input!$E$55/12,B114,$C$6,Input!$E$54,-Input!$E$65,0))," ")</f>
        <v>-1479.7083200946049</v>
      </c>
      <c r="E114" s="6">
        <f>IFERROR(((IPMT(Input!$E$55/12,B114,$C$6,Input!$E$54,-Input!$E$65,0)))," ")</f>
        <v>-2684.1251888939087</v>
      </c>
      <c r="F114" s="6">
        <f t="shared" si="19"/>
        <v>-130862.59058703479</v>
      </c>
      <c r="G114" s="6">
        <f t="shared" si="18"/>
        <v>-273029.25978485093</v>
      </c>
      <c r="H114" s="6">
        <f t="shared" si="13"/>
        <v>-4163.8335089885131</v>
      </c>
      <c r="I114" s="6">
        <f t="shared" si="14"/>
        <v>1369137.4094129652</v>
      </c>
      <c r="J114" s="6" t="str">
        <f>IF(B114&lt;&gt;"",IF(AND(Input!$H$54="Annual",MOD(B114,12)=0),Input!$J$54,IF(AND(Input!$H$54="1st Installment",B114=1),Input!$J$54,IF(Input!$H$54="Monthly",Input!$J$54,""))),"")</f>
        <v/>
      </c>
      <c r="K114" s="6">
        <f>IF(B114&lt;&gt;"",IF(AND(Input!$H$55="Annual",MOD(B114,12)=0),Input!$J$55,IF(AND(Input!$H$55="1st Installment",B114=1),Input!$J$55,IF(Input!$H$55="Monthly",Input!$J$55,""))),"")</f>
        <v>0</v>
      </c>
      <c r="L114" s="6" t="str">
        <f>IF(B114&lt;&gt;"",IF(AND(Input!$H$56="Annual",MOD(B114,12)=0),Input!$J$56,IF(AND(Input!$H$56="1st Installment",B114=1),Input!$J$56,IF(Input!$H$56="Monthly",Input!$J$56,""))),"")</f>
        <v/>
      </c>
      <c r="M114" s="6" t="str">
        <f>IF(B114&lt;&gt;"",IF(AND(Input!$H$57="Annual",MOD(B114,12)=0),Input!$J$57,IF(AND(Input!$H$57="1st Installment",B114=1),Input!$J$57,IF(Input!$H$57="Monthly",Input!$J$57,""))),"")</f>
        <v/>
      </c>
      <c r="N114" s="6" t="str">
        <f>IF(B114&lt;&gt;"",IF(AND(Input!$H$58="Annual",MOD(B114,12)=0),Input!$J$58,IF(AND(Input!$H$58="1st Installment",B114=1),Input!$J$58,IF(Input!$H$58="Monthly",Input!$J$58,IF(AND(Input!$H$58="End of the loan",B114=Input!$E$58),Input!$J$58,"")))),"")</f>
        <v/>
      </c>
      <c r="O114" s="6">
        <f t="shared" si="10"/>
        <v>0</v>
      </c>
      <c r="P114" s="4">
        <f t="shared" si="11"/>
        <v>4163.8335089885131</v>
      </c>
      <c r="T114" s="9">
        <f t="shared" si="12"/>
        <v>47508</v>
      </c>
      <c r="U114" s="5">
        <f t="shared" si="15"/>
        <v>4163.83</v>
      </c>
    </row>
    <row r="115" spans="2:21">
      <c r="B115" s="16">
        <f t="shared" si="16"/>
        <v>98</v>
      </c>
      <c r="C115" s="9">
        <f t="shared" si="17"/>
        <v>47539</v>
      </c>
      <c r="D115" s="6">
        <f>IFERROR((PPMT(Input!$E$55/12,B115,$C$6,Input!$E$54,-Input!$E$65,0))," ")</f>
        <v>-1482.6060822214565</v>
      </c>
      <c r="E115" s="6">
        <f>IFERROR(((IPMT(Input!$E$55/12,B115,$C$6,Input!$E$54,-Input!$E$65,0)))," ")</f>
        <v>-2681.2274267670568</v>
      </c>
      <c r="F115" s="6">
        <f t="shared" si="19"/>
        <v>-132345.19666925626</v>
      </c>
      <c r="G115" s="6">
        <f t="shared" si="18"/>
        <v>-275710.48721161799</v>
      </c>
      <c r="H115" s="6">
        <f t="shared" si="13"/>
        <v>-4163.8335089885131</v>
      </c>
      <c r="I115" s="6">
        <f t="shared" si="14"/>
        <v>1367654.8033307437</v>
      </c>
      <c r="J115" s="6" t="str">
        <f>IF(B115&lt;&gt;"",IF(AND(Input!$H$54="Annual",MOD(B115,12)=0),Input!$J$54,IF(AND(Input!$H$54="1st Installment",B115=1),Input!$J$54,IF(Input!$H$54="Monthly",Input!$J$54,""))),"")</f>
        <v/>
      </c>
      <c r="K115" s="6">
        <f>IF(B115&lt;&gt;"",IF(AND(Input!$H$55="Annual",MOD(B115,12)=0),Input!$J$55,IF(AND(Input!$H$55="1st Installment",B115=1),Input!$J$55,IF(Input!$H$55="Monthly",Input!$J$55,""))),"")</f>
        <v>0</v>
      </c>
      <c r="L115" s="6" t="str">
        <f>IF(B115&lt;&gt;"",IF(AND(Input!$H$56="Annual",MOD(B115,12)=0),Input!$J$56,IF(AND(Input!$H$56="1st Installment",B115=1),Input!$J$56,IF(Input!$H$56="Monthly",Input!$J$56,""))),"")</f>
        <v/>
      </c>
      <c r="M115" s="6" t="str">
        <f>IF(B115&lt;&gt;"",IF(AND(Input!$H$57="Annual",MOD(B115,12)=0),Input!$J$57,IF(AND(Input!$H$57="1st Installment",B115=1),Input!$J$57,IF(Input!$H$57="Monthly",Input!$J$57,""))),"")</f>
        <v/>
      </c>
      <c r="N115" s="6" t="str">
        <f>IF(B115&lt;&gt;"",IF(AND(Input!$H$58="Annual",MOD(B115,12)=0),Input!$J$58,IF(AND(Input!$H$58="1st Installment",B115=1),Input!$J$58,IF(Input!$H$58="Monthly",Input!$J$58,IF(AND(Input!$H$58="End of the loan",B115=Input!$E$58),Input!$J$58,"")))),"")</f>
        <v/>
      </c>
      <c r="O115" s="6">
        <f t="shared" si="10"/>
        <v>0</v>
      </c>
      <c r="P115" s="4">
        <f t="shared" si="11"/>
        <v>4163.8335089885131</v>
      </c>
      <c r="T115" s="9">
        <f t="shared" si="12"/>
        <v>47539</v>
      </c>
      <c r="U115" s="5">
        <f t="shared" si="15"/>
        <v>4163.83</v>
      </c>
    </row>
    <row r="116" spans="2:21">
      <c r="B116" s="16">
        <f t="shared" si="16"/>
        <v>99</v>
      </c>
      <c r="C116" s="9">
        <f t="shared" si="17"/>
        <v>47567</v>
      </c>
      <c r="D116" s="6">
        <f>IFERROR((PPMT(Input!$E$55/12,B116,$C$6,Input!$E$54,-Input!$E$65,0))," ")</f>
        <v>-1485.509519132474</v>
      </c>
      <c r="E116" s="6">
        <f>IFERROR(((IPMT(Input!$E$55/12,B116,$C$6,Input!$E$54,-Input!$E$65,0)))," ")</f>
        <v>-2678.32398985604</v>
      </c>
      <c r="F116" s="6">
        <f t="shared" si="19"/>
        <v>-133830.70618838872</v>
      </c>
      <c r="G116" s="6">
        <f t="shared" si="18"/>
        <v>-278388.81120147405</v>
      </c>
      <c r="H116" s="6">
        <f t="shared" si="13"/>
        <v>-4163.833508988514</v>
      </c>
      <c r="I116" s="6">
        <f t="shared" si="14"/>
        <v>1366169.2938116114</v>
      </c>
      <c r="J116" s="6" t="str">
        <f>IF(B116&lt;&gt;"",IF(AND(Input!$H$54="Annual",MOD(B116,12)=0),Input!$J$54,IF(AND(Input!$H$54="1st Installment",B116=1),Input!$J$54,IF(Input!$H$54="Monthly",Input!$J$54,""))),"")</f>
        <v/>
      </c>
      <c r="K116" s="6">
        <f>IF(B116&lt;&gt;"",IF(AND(Input!$H$55="Annual",MOD(B116,12)=0),Input!$J$55,IF(AND(Input!$H$55="1st Installment",B116=1),Input!$J$55,IF(Input!$H$55="Monthly",Input!$J$55,""))),"")</f>
        <v>0</v>
      </c>
      <c r="L116" s="6" t="str">
        <f>IF(B116&lt;&gt;"",IF(AND(Input!$H$56="Annual",MOD(B116,12)=0),Input!$J$56,IF(AND(Input!$H$56="1st Installment",B116=1),Input!$J$56,IF(Input!$H$56="Monthly",Input!$J$56,""))),"")</f>
        <v/>
      </c>
      <c r="M116" s="6" t="str">
        <f>IF(B116&lt;&gt;"",IF(AND(Input!$H$57="Annual",MOD(B116,12)=0),Input!$J$57,IF(AND(Input!$H$57="1st Installment",B116=1),Input!$J$57,IF(Input!$H$57="Monthly",Input!$J$57,""))),"")</f>
        <v/>
      </c>
      <c r="N116" s="6" t="str">
        <f>IF(B116&lt;&gt;"",IF(AND(Input!$H$58="Annual",MOD(B116,12)=0),Input!$J$58,IF(AND(Input!$H$58="1st Installment",B116=1),Input!$J$58,IF(Input!$H$58="Monthly",Input!$J$58,IF(AND(Input!$H$58="End of the loan",B116=Input!$E$58),Input!$J$58,"")))),"")</f>
        <v/>
      </c>
      <c r="O116" s="6">
        <f t="shared" si="10"/>
        <v>0</v>
      </c>
      <c r="P116" s="4">
        <f t="shared" si="11"/>
        <v>4163.833508988514</v>
      </c>
      <c r="T116" s="9">
        <f t="shared" si="12"/>
        <v>47567</v>
      </c>
      <c r="U116" s="5">
        <f t="shared" si="15"/>
        <v>4163.83</v>
      </c>
    </row>
    <row r="117" spans="2:21">
      <c r="B117" s="16">
        <f t="shared" si="16"/>
        <v>100</v>
      </c>
      <c r="C117" s="9">
        <f t="shared" si="17"/>
        <v>47598</v>
      </c>
      <c r="D117" s="6">
        <f>IFERROR((PPMT(Input!$E$55/12,B117,$C$6,Input!$E$54,-Input!$E$65,0))," ")</f>
        <v>-1488.4186419407747</v>
      </c>
      <c r="E117" s="6">
        <f>IFERROR(((IPMT(Input!$E$55/12,B117,$C$6,Input!$E$54,-Input!$E$65,0)))," ")</f>
        <v>-2675.4148670477389</v>
      </c>
      <c r="F117" s="6">
        <f t="shared" si="19"/>
        <v>-135319.1248303295</v>
      </c>
      <c r="G117" s="6">
        <f t="shared" si="18"/>
        <v>-281064.22606852179</v>
      </c>
      <c r="H117" s="6">
        <f t="shared" si="13"/>
        <v>-4163.8335089885131</v>
      </c>
      <c r="I117" s="6">
        <f t="shared" si="14"/>
        <v>1364680.8751696704</v>
      </c>
      <c r="J117" s="6" t="str">
        <f>IF(B117&lt;&gt;"",IF(AND(Input!$H$54="Annual",MOD(B117,12)=0),Input!$J$54,IF(AND(Input!$H$54="1st Installment",B117=1),Input!$J$54,IF(Input!$H$54="Monthly",Input!$J$54,""))),"")</f>
        <v/>
      </c>
      <c r="K117" s="6">
        <f>IF(B117&lt;&gt;"",IF(AND(Input!$H$55="Annual",MOD(B117,12)=0),Input!$J$55,IF(AND(Input!$H$55="1st Installment",B117=1),Input!$J$55,IF(Input!$H$55="Monthly",Input!$J$55,""))),"")</f>
        <v>0</v>
      </c>
      <c r="L117" s="6" t="str">
        <f>IF(B117&lt;&gt;"",IF(AND(Input!$H$56="Annual",MOD(B117,12)=0),Input!$J$56,IF(AND(Input!$H$56="1st Installment",B117=1),Input!$J$56,IF(Input!$H$56="Monthly",Input!$J$56,""))),"")</f>
        <v/>
      </c>
      <c r="M117" s="6" t="str">
        <f>IF(B117&lt;&gt;"",IF(AND(Input!$H$57="Annual",MOD(B117,12)=0),Input!$J$57,IF(AND(Input!$H$57="1st Installment",B117=1),Input!$J$57,IF(Input!$H$57="Monthly",Input!$J$57,""))),"")</f>
        <v/>
      </c>
      <c r="N117" s="6" t="str">
        <f>IF(B117&lt;&gt;"",IF(AND(Input!$H$58="Annual",MOD(B117,12)=0),Input!$J$58,IF(AND(Input!$H$58="1st Installment",B117=1),Input!$J$58,IF(Input!$H$58="Monthly",Input!$J$58,IF(AND(Input!$H$58="End of the loan",B117=Input!$E$58),Input!$J$58,"")))),"")</f>
        <v/>
      </c>
      <c r="O117" s="6">
        <f t="shared" si="10"/>
        <v>0</v>
      </c>
      <c r="P117" s="4">
        <f t="shared" si="11"/>
        <v>4163.8335089885131</v>
      </c>
      <c r="T117" s="9">
        <f t="shared" si="12"/>
        <v>47598</v>
      </c>
      <c r="U117" s="5">
        <f t="shared" si="15"/>
        <v>4163.83</v>
      </c>
    </row>
    <row r="118" spans="2:21">
      <c r="B118" s="16">
        <f t="shared" si="16"/>
        <v>101</v>
      </c>
      <c r="C118" s="9">
        <f t="shared" si="17"/>
        <v>47628</v>
      </c>
      <c r="D118" s="6">
        <f>IFERROR((PPMT(Input!$E$55/12,B118,$C$6,Input!$E$54,-Input!$E$65,0))," ")</f>
        <v>-1491.333461781242</v>
      </c>
      <c r="E118" s="6">
        <f>IFERROR(((IPMT(Input!$E$55/12,B118,$C$6,Input!$E$54,-Input!$E$65,0)))," ")</f>
        <v>-2672.5000472072716</v>
      </c>
      <c r="F118" s="6">
        <f t="shared" si="19"/>
        <v>-136810.45829211074</v>
      </c>
      <c r="G118" s="6">
        <f t="shared" si="18"/>
        <v>-283736.72611572908</v>
      </c>
      <c r="H118" s="6">
        <f t="shared" si="13"/>
        <v>-4163.8335089885131</v>
      </c>
      <c r="I118" s="6">
        <f t="shared" si="14"/>
        <v>1363189.5417078892</v>
      </c>
      <c r="J118" s="6" t="str">
        <f>IF(B118&lt;&gt;"",IF(AND(Input!$H$54="Annual",MOD(B118,12)=0),Input!$J$54,IF(AND(Input!$H$54="1st Installment",B118=1),Input!$J$54,IF(Input!$H$54="Monthly",Input!$J$54,""))),"")</f>
        <v/>
      </c>
      <c r="K118" s="6">
        <f>IF(B118&lt;&gt;"",IF(AND(Input!$H$55="Annual",MOD(B118,12)=0),Input!$J$55,IF(AND(Input!$H$55="1st Installment",B118=1),Input!$J$55,IF(Input!$H$55="Monthly",Input!$J$55,""))),"")</f>
        <v>0</v>
      </c>
      <c r="L118" s="6" t="str">
        <f>IF(B118&lt;&gt;"",IF(AND(Input!$H$56="Annual",MOD(B118,12)=0),Input!$J$56,IF(AND(Input!$H$56="1st Installment",B118=1),Input!$J$56,IF(Input!$H$56="Monthly",Input!$J$56,""))),"")</f>
        <v/>
      </c>
      <c r="M118" s="6" t="str">
        <f>IF(B118&lt;&gt;"",IF(AND(Input!$H$57="Annual",MOD(B118,12)=0),Input!$J$57,IF(AND(Input!$H$57="1st Installment",B118=1),Input!$J$57,IF(Input!$H$57="Monthly",Input!$J$57,""))),"")</f>
        <v/>
      </c>
      <c r="N118" s="6" t="str">
        <f>IF(B118&lt;&gt;"",IF(AND(Input!$H$58="Annual",MOD(B118,12)=0),Input!$J$58,IF(AND(Input!$H$58="1st Installment",B118=1),Input!$J$58,IF(Input!$H$58="Monthly",Input!$J$58,IF(AND(Input!$H$58="End of the loan",B118=Input!$E$58),Input!$J$58,"")))),"")</f>
        <v/>
      </c>
      <c r="O118" s="6">
        <f t="shared" si="10"/>
        <v>0</v>
      </c>
      <c r="P118" s="4">
        <f t="shared" si="11"/>
        <v>4163.8335089885131</v>
      </c>
      <c r="T118" s="9">
        <f t="shared" si="12"/>
        <v>47628</v>
      </c>
      <c r="U118" s="5">
        <f t="shared" si="15"/>
        <v>4163.83</v>
      </c>
    </row>
    <row r="119" spans="2:21">
      <c r="B119" s="16">
        <f t="shared" si="16"/>
        <v>102</v>
      </c>
      <c r="C119" s="9">
        <f t="shared" si="17"/>
        <v>47659</v>
      </c>
      <c r="D119" s="6">
        <f>IFERROR((PPMT(Input!$E$55/12,B119,$C$6,Input!$E$54,-Input!$E$65,0))," ")</f>
        <v>-1494.253989810564</v>
      </c>
      <c r="E119" s="6">
        <f>IFERROR(((IPMT(Input!$E$55/12,B119,$C$6,Input!$E$54,-Input!$E$65,0)))," ")</f>
        <v>-2669.5795191779498</v>
      </c>
      <c r="F119" s="6">
        <f t="shared" si="19"/>
        <v>-138304.7122819213</v>
      </c>
      <c r="G119" s="6">
        <f t="shared" si="18"/>
        <v>-286406.30563490704</v>
      </c>
      <c r="H119" s="6">
        <f t="shared" si="13"/>
        <v>-4163.833508988514</v>
      </c>
      <c r="I119" s="6">
        <f t="shared" si="14"/>
        <v>1361695.2877180786</v>
      </c>
      <c r="J119" s="6" t="str">
        <f>IF(B119&lt;&gt;"",IF(AND(Input!$H$54="Annual",MOD(B119,12)=0),Input!$J$54,IF(AND(Input!$H$54="1st Installment",B119=1),Input!$J$54,IF(Input!$H$54="Monthly",Input!$J$54,""))),"")</f>
        <v/>
      </c>
      <c r="K119" s="6">
        <f>IF(B119&lt;&gt;"",IF(AND(Input!$H$55="Annual",MOD(B119,12)=0),Input!$J$55,IF(AND(Input!$H$55="1st Installment",B119=1),Input!$J$55,IF(Input!$H$55="Monthly",Input!$J$55,""))),"")</f>
        <v>0</v>
      </c>
      <c r="L119" s="6" t="str">
        <f>IF(B119&lt;&gt;"",IF(AND(Input!$H$56="Annual",MOD(B119,12)=0),Input!$J$56,IF(AND(Input!$H$56="1st Installment",B119=1),Input!$J$56,IF(Input!$H$56="Monthly",Input!$J$56,""))),"")</f>
        <v/>
      </c>
      <c r="M119" s="6" t="str">
        <f>IF(B119&lt;&gt;"",IF(AND(Input!$H$57="Annual",MOD(B119,12)=0),Input!$J$57,IF(AND(Input!$H$57="1st Installment",B119=1),Input!$J$57,IF(Input!$H$57="Monthly",Input!$J$57,""))),"")</f>
        <v/>
      </c>
      <c r="N119" s="6" t="str">
        <f>IF(B119&lt;&gt;"",IF(AND(Input!$H$58="Annual",MOD(B119,12)=0),Input!$J$58,IF(AND(Input!$H$58="1st Installment",B119=1),Input!$J$58,IF(Input!$H$58="Monthly",Input!$J$58,IF(AND(Input!$H$58="End of the loan",B119=Input!$E$58),Input!$J$58,"")))),"")</f>
        <v/>
      </c>
      <c r="O119" s="6">
        <f t="shared" si="10"/>
        <v>0</v>
      </c>
      <c r="P119" s="4">
        <f t="shared" si="11"/>
        <v>4163.833508988514</v>
      </c>
      <c r="T119" s="9">
        <f t="shared" si="12"/>
        <v>47659</v>
      </c>
      <c r="U119" s="5">
        <f t="shared" si="15"/>
        <v>4163.83</v>
      </c>
    </row>
    <row r="120" spans="2:21">
      <c r="B120" s="16">
        <f t="shared" si="16"/>
        <v>103</v>
      </c>
      <c r="C120" s="9">
        <f t="shared" si="17"/>
        <v>47689</v>
      </c>
      <c r="D120" s="6">
        <f>IFERROR((PPMT(Input!$E$55/12,B120,$C$6,Input!$E$54,-Input!$E$65,0))," ")</f>
        <v>-1497.1802372072762</v>
      </c>
      <c r="E120" s="6">
        <f>IFERROR(((IPMT(Input!$E$55/12,B120,$C$6,Input!$E$54,-Input!$E$65,0)))," ")</f>
        <v>-2666.6532717812374</v>
      </c>
      <c r="F120" s="6">
        <f t="shared" si="19"/>
        <v>-139801.89251912857</v>
      </c>
      <c r="G120" s="6">
        <f t="shared" si="18"/>
        <v>-289072.95890668826</v>
      </c>
      <c r="H120" s="6">
        <f t="shared" si="13"/>
        <v>-4163.8335089885131</v>
      </c>
      <c r="I120" s="6">
        <f t="shared" si="14"/>
        <v>1360198.1074808715</v>
      </c>
      <c r="J120" s="6" t="str">
        <f>IF(B120&lt;&gt;"",IF(AND(Input!$H$54="Annual",MOD(B120,12)=0),Input!$J$54,IF(AND(Input!$H$54="1st Installment",B120=1),Input!$J$54,IF(Input!$H$54="Monthly",Input!$J$54,""))),"")</f>
        <v/>
      </c>
      <c r="K120" s="6">
        <f>IF(B120&lt;&gt;"",IF(AND(Input!$H$55="Annual",MOD(B120,12)=0),Input!$J$55,IF(AND(Input!$H$55="1st Installment",B120=1),Input!$J$55,IF(Input!$H$55="Monthly",Input!$J$55,""))),"")</f>
        <v>0</v>
      </c>
      <c r="L120" s="6" t="str">
        <f>IF(B120&lt;&gt;"",IF(AND(Input!$H$56="Annual",MOD(B120,12)=0),Input!$J$56,IF(AND(Input!$H$56="1st Installment",B120=1),Input!$J$56,IF(Input!$H$56="Monthly",Input!$J$56,""))),"")</f>
        <v/>
      </c>
      <c r="M120" s="6" t="str">
        <f>IF(B120&lt;&gt;"",IF(AND(Input!$H$57="Annual",MOD(B120,12)=0),Input!$J$57,IF(AND(Input!$H$57="1st Installment",B120=1),Input!$J$57,IF(Input!$H$57="Monthly",Input!$J$57,""))),"")</f>
        <v/>
      </c>
      <c r="N120" s="6" t="str">
        <f>IF(B120&lt;&gt;"",IF(AND(Input!$H$58="Annual",MOD(B120,12)=0),Input!$J$58,IF(AND(Input!$H$58="1st Installment",B120=1),Input!$J$58,IF(Input!$H$58="Monthly",Input!$J$58,IF(AND(Input!$H$58="End of the loan",B120=Input!$E$58),Input!$J$58,"")))),"")</f>
        <v/>
      </c>
      <c r="O120" s="6">
        <f t="shared" si="10"/>
        <v>0</v>
      </c>
      <c r="P120" s="4">
        <f t="shared" si="11"/>
        <v>4163.8335089885131</v>
      </c>
      <c r="T120" s="9">
        <f t="shared" si="12"/>
        <v>47689</v>
      </c>
      <c r="U120" s="5">
        <f t="shared" si="15"/>
        <v>4163.83</v>
      </c>
    </row>
    <row r="121" spans="2:21">
      <c r="B121" s="16">
        <f t="shared" si="16"/>
        <v>104</v>
      </c>
      <c r="C121" s="9">
        <f t="shared" si="17"/>
        <v>47720</v>
      </c>
      <c r="D121" s="6">
        <f>IFERROR((PPMT(Input!$E$55/12,B121,$C$6,Input!$E$54,-Input!$E$65,0))," ")</f>
        <v>-1500.1122151718071</v>
      </c>
      <c r="E121" s="6">
        <f>IFERROR(((IPMT(Input!$E$55/12,B121,$C$6,Input!$E$54,-Input!$E$65,0)))," ")</f>
        <v>-2663.7212938167063</v>
      </c>
      <c r="F121" s="6">
        <f t="shared" si="19"/>
        <v>-141302.00473430037</v>
      </c>
      <c r="G121" s="6">
        <f t="shared" si="18"/>
        <v>-291736.68020050495</v>
      </c>
      <c r="H121" s="6">
        <f t="shared" si="13"/>
        <v>-4163.8335089885131</v>
      </c>
      <c r="I121" s="6">
        <f t="shared" si="14"/>
        <v>1358697.9952656997</v>
      </c>
      <c r="J121" s="6" t="str">
        <f>IF(B121&lt;&gt;"",IF(AND(Input!$H$54="Annual",MOD(B121,12)=0),Input!$J$54,IF(AND(Input!$H$54="1st Installment",B121=1),Input!$J$54,IF(Input!$H$54="Monthly",Input!$J$54,""))),"")</f>
        <v/>
      </c>
      <c r="K121" s="6">
        <f>IF(B121&lt;&gt;"",IF(AND(Input!$H$55="Annual",MOD(B121,12)=0),Input!$J$55,IF(AND(Input!$H$55="1st Installment",B121=1),Input!$J$55,IF(Input!$H$55="Monthly",Input!$J$55,""))),"")</f>
        <v>0</v>
      </c>
      <c r="L121" s="6" t="str">
        <f>IF(B121&lt;&gt;"",IF(AND(Input!$H$56="Annual",MOD(B121,12)=0),Input!$J$56,IF(AND(Input!$H$56="1st Installment",B121=1),Input!$J$56,IF(Input!$H$56="Monthly",Input!$J$56,""))),"")</f>
        <v/>
      </c>
      <c r="M121" s="6" t="str">
        <f>IF(B121&lt;&gt;"",IF(AND(Input!$H$57="Annual",MOD(B121,12)=0),Input!$J$57,IF(AND(Input!$H$57="1st Installment",B121=1),Input!$J$57,IF(Input!$H$57="Monthly",Input!$J$57,""))),"")</f>
        <v/>
      </c>
      <c r="N121" s="6" t="str">
        <f>IF(B121&lt;&gt;"",IF(AND(Input!$H$58="Annual",MOD(B121,12)=0),Input!$J$58,IF(AND(Input!$H$58="1st Installment",B121=1),Input!$J$58,IF(Input!$H$58="Monthly",Input!$J$58,IF(AND(Input!$H$58="End of the loan",B121=Input!$E$58),Input!$J$58,"")))),"")</f>
        <v/>
      </c>
      <c r="O121" s="6">
        <f t="shared" si="10"/>
        <v>0</v>
      </c>
      <c r="P121" s="4">
        <f t="shared" si="11"/>
        <v>4163.8335089885131</v>
      </c>
      <c r="T121" s="9">
        <f t="shared" si="12"/>
        <v>47720</v>
      </c>
      <c r="U121" s="5">
        <f t="shared" si="15"/>
        <v>4163.83</v>
      </c>
    </row>
    <row r="122" spans="2:21">
      <c r="B122" s="16">
        <f t="shared" si="16"/>
        <v>105</v>
      </c>
      <c r="C122" s="9">
        <f t="shared" si="17"/>
        <v>47751</v>
      </c>
      <c r="D122" s="6">
        <f>IFERROR((PPMT(Input!$E$55/12,B122,$C$6,Input!$E$54,-Input!$E$65,0))," ")</f>
        <v>-1503.0499349265187</v>
      </c>
      <c r="E122" s="6">
        <f>IFERROR(((IPMT(Input!$E$55/12,B122,$C$6,Input!$E$54,-Input!$E$65,0)))," ")</f>
        <v>-2660.7835740619948</v>
      </c>
      <c r="F122" s="6">
        <f t="shared" si="19"/>
        <v>-142805.0546692269</v>
      </c>
      <c r="G122" s="6">
        <f t="shared" si="18"/>
        <v>-294397.46377456695</v>
      </c>
      <c r="H122" s="6">
        <f t="shared" si="13"/>
        <v>-4163.8335089885131</v>
      </c>
      <c r="I122" s="6">
        <f t="shared" si="14"/>
        <v>1357194.945330773</v>
      </c>
      <c r="J122" s="6" t="str">
        <f>IF(B122&lt;&gt;"",IF(AND(Input!$H$54="Annual",MOD(B122,12)=0),Input!$J$54,IF(AND(Input!$H$54="1st Installment",B122=1),Input!$J$54,IF(Input!$H$54="Monthly",Input!$J$54,""))),"")</f>
        <v/>
      </c>
      <c r="K122" s="6">
        <f>IF(B122&lt;&gt;"",IF(AND(Input!$H$55="Annual",MOD(B122,12)=0),Input!$J$55,IF(AND(Input!$H$55="1st Installment",B122=1),Input!$J$55,IF(Input!$H$55="Monthly",Input!$J$55,""))),"")</f>
        <v>0</v>
      </c>
      <c r="L122" s="6" t="str">
        <f>IF(B122&lt;&gt;"",IF(AND(Input!$H$56="Annual",MOD(B122,12)=0),Input!$J$56,IF(AND(Input!$H$56="1st Installment",B122=1),Input!$J$56,IF(Input!$H$56="Monthly",Input!$J$56,""))),"")</f>
        <v/>
      </c>
      <c r="M122" s="6" t="str">
        <f>IF(B122&lt;&gt;"",IF(AND(Input!$H$57="Annual",MOD(B122,12)=0),Input!$J$57,IF(AND(Input!$H$57="1st Installment",B122=1),Input!$J$57,IF(Input!$H$57="Monthly",Input!$J$57,""))),"")</f>
        <v/>
      </c>
      <c r="N122" s="6" t="str">
        <f>IF(B122&lt;&gt;"",IF(AND(Input!$H$58="Annual",MOD(B122,12)=0),Input!$J$58,IF(AND(Input!$H$58="1st Installment",B122=1),Input!$J$58,IF(Input!$H$58="Monthly",Input!$J$58,IF(AND(Input!$H$58="End of the loan",B122=Input!$E$58),Input!$J$58,"")))),"")</f>
        <v/>
      </c>
      <c r="O122" s="6">
        <f t="shared" si="10"/>
        <v>0</v>
      </c>
      <c r="P122" s="4">
        <f t="shared" si="11"/>
        <v>4163.8335089885131</v>
      </c>
      <c r="T122" s="9">
        <f t="shared" si="12"/>
        <v>47751</v>
      </c>
      <c r="U122" s="5">
        <f t="shared" si="15"/>
        <v>4163.83</v>
      </c>
    </row>
    <row r="123" spans="2:21">
      <c r="B123" s="16">
        <f t="shared" si="16"/>
        <v>106</v>
      </c>
      <c r="C123" s="9">
        <f t="shared" si="17"/>
        <v>47781</v>
      </c>
      <c r="D123" s="6">
        <f>IFERROR((PPMT(Input!$E$55/12,B123,$C$6,Input!$E$54,-Input!$E$65,0))," ")</f>
        <v>-1505.9934077157498</v>
      </c>
      <c r="E123" s="6">
        <f>IFERROR(((IPMT(Input!$E$55/12,B123,$C$6,Input!$E$54,-Input!$E$65,0)))," ")</f>
        <v>-2657.8401012727641</v>
      </c>
      <c r="F123" s="6">
        <f t="shared" si="19"/>
        <v>-144311.04807694265</v>
      </c>
      <c r="G123" s="6">
        <f t="shared" si="18"/>
        <v>-297055.30387583969</v>
      </c>
      <c r="H123" s="6">
        <f t="shared" si="13"/>
        <v>-4163.833508988514</v>
      </c>
      <c r="I123" s="6">
        <f t="shared" si="14"/>
        <v>1355688.9519230574</v>
      </c>
      <c r="J123" s="6" t="str">
        <f>IF(B123&lt;&gt;"",IF(AND(Input!$H$54="Annual",MOD(B123,12)=0),Input!$J$54,IF(AND(Input!$H$54="1st Installment",B123=1),Input!$J$54,IF(Input!$H$54="Monthly",Input!$J$54,""))),"")</f>
        <v/>
      </c>
      <c r="K123" s="6">
        <f>IF(B123&lt;&gt;"",IF(AND(Input!$H$55="Annual",MOD(B123,12)=0),Input!$J$55,IF(AND(Input!$H$55="1st Installment",B123=1),Input!$J$55,IF(Input!$H$55="Monthly",Input!$J$55,""))),"")</f>
        <v>0</v>
      </c>
      <c r="L123" s="6" t="str">
        <f>IF(B123&lt;&gt;"",IF(AND(Input!$H$56="Annual",MOD(B123,12)=0),Input!$J$56,IF(AND(Input!$H$56="1st Installment",B123=1),Input!$J$56,IF(Input!$H$56="Monthly",Input!$J$56,""))),"")</f>
        <v/>
      </c>
      <c r="M123" s="6" t="str">
        <f>IF(B123&lt;&gt;"",IF(AND(Input!$H$57="Annual",MOD(B123,12)=0),Input!$J$57,IF(AND(Input!$H$57="1st Installment",B123=1),Input!$J$57,IF(Input!$H$57="Monthly",Input!$J$57,""))),"")</f>
        <v/>
      </c>
      <c r="N123" s="6" t="str">
        <f>IF(B123&lt;&gt;"",IF(AND(Input!$H$58="Annual",MOD(B123,12)=0),Input!$J$58,IF(AND(Input!$H$58="1st Installment",B123=1),Input!$J$58,IF(Input!$H$58="Monthly",Input!$J$58,IF(AND(Input!$H$58="End of the loan",B123=Input!$E$58),Input!$J$58,"")))),"")</f>
        <v/>
      </c>
      <c r="O123" s="6">
        <f t="shared" si="10"/>
        <v>0</v>
      </c>
      <c r="P123" s="4">
        <f t="shared" si="11"/>
        <v>4163.833508988514</v>
      </c>
      <c r="T123" s="9">
        <f t="shared" si="12"/>
        <v>47781</v>
      </c>
      <c r="U123" s="5">
        <f t="shared" si="15"/>
        <v>4163.83</v>
      </c>
    </row>
    <row r="124" spans="2:21">
      <c r="B124" s="16">
        <f t="shared" si="16"/>
        <v>107</v>
      </c>
      <c r="C124" s="9">
        <f t="shared" si="17"/>
        <v>47812</v>
      </c>
      <c r="D124" s="6">
        <f>IFERROR((PPMT(Input!$E$55/12,B124,$C$6,Input!$E$54,-Input!$E$65,0))," ")</f>
        <v>-1508.9426448058598</v>
      </c>
      <c r="E124" s="6">
        <f>IFERROR(((IPMT(Input!$E$55/12,B124,$C$6,Input!$E$54,-Input!$E$65,0)))," ")</f>
        <v>-2654.8908641826538</v>
      </c>
      <c r="F124" s="6">
        <f t="shared" si="19"/>
        <v>-145819.9907217485</v>
      </c>
      <c r="G124" s="6">
        <f t="shared" si="18"/>
        <v>-299710.19474002236</v>
      </c>
      <c r="H124" s="6">
        <f t="shared" si="13"/>
        <v>-4163.8335089885131</v>
      </c>
      <c r="I124" s="6">
        <f t="shared" si="14"/>
        <v>1354180.0092782516</v>
      </c>
      <c r="J124" s="6" t="str">
        <f>IF(B124&lt;&gt;"",IF(AND(Input!$H$54="Annual",MOD(B124,12)=0),Input!$J$54,IF(AND(Input!$H$54="1st Installment",B124=1),Input!$J$54,IF(Input!$H$54="Monthly",Input!$J$54,""))),"")</f>
        <v/>
      </c>
      <c r="K124" s="6">
        <f>IF(B124&lt;&gt;"",IF(AND(Input!$H$55="Annual",MOD(B124,12)=0),Input!$J$55,IF(AND(Input!$H$55="1st Installment",B124=1),Input!$J$55,IF(Input!$H$55="Monthly",Input!$J$55,""))),"")</f>
        <v>0</v>
      </c>
      <c r="L124" s="6" t="str">
        <f>IF(B124&lt;&gt;"",IF(AND(Input!$H$56="Annual",MOD(B124,12)=0),Input!$J$56,IF(AND(Input!$H$56="1st Installment",B124=1),Input!$J$56,IF(Input!$H$56="Monthly",Input!$J$56,""))),"")</f>
        <v/>
      </c>
      <c r="M124" s="6" t="str">
        <f>IF(B124&lt;&gt;"",IF(AND(Input!$H$57="Annual",MOD(B124,12)=0),Input!$J$57,IF(AND(Input!$H$57="1st Installment",B124=1),Input!$J$57,IF(Input!$H$57="Monthly",Input!$J$57,""))),"")</f>
        <v/>
      </c>
      <c r="N124" s="6" t="str">
        <f>IF(B124&lt;&gt;"",IF(AND(Input!$H$58="Annual",MOD(B124,12)=0),Input!$J$58,IF(AND(Input!$H$58="1st Installment",B124=1),Input!$J$58,IF(Input!$H$58="Monthly",Input!$J$58,IF(AND(Input!$H$58="End of the loan",B124=Input!$E$58),Input!$J$58,"")))),"")</f>
        <v/>
      </c>
      <c r="O124" s="6">
        <f t="shared" si="10"/>
        <v>0</v>
      </c>
      <c r="P124" s="4">
        <f t="shared" si="11"/>
        <v>4163.8335089885131</v>
      </c>
      <c r="T124" s="9">
        <f t="shared" si="12"/>
        <v>47812</v>
      </c>
      <c r="U124" s="5">
        <f t="shared" si="15"/>
        <v>4163.83</v>
      </c>
    </row>
    <row r="125" spans="2:21">
      <c r="B125" s="16">
        <f t="shared" si="16"/>
        <v>108</v>
      </c>
      <c r="C125" s="9">
        <f t="shared" si="17"/>
        <v>47842</v>
      </c>
      <c r="D125" s="6">
        <f>IFERROR((PPMT(Input!$E$55/12,B125,$C$6,Input!$E$54,-Input!$E$65,0))," ")</f>
        <v>-1511.8976574852711</v>
      </c>
      <c r="E125" s="6">
        <f>IFERROR(((IPMT(Input!$E$55/12,B125,$C$6,Input!$E$54,-Input!$E$65,0)))," ")</f>
        <v>-2651.9358515032422</v>
      </c>
      <c r="F125" s="6">
        <f t="shared" si="19"/>
        <v>-147331.88837923377</v>
      </c>
      <c r="G125" s="6">
        <f t="shared" si="18"/>
        <v>-302362.13059152558</v>
      </c>
      <c r="H125" s="6">
        <f t="shared" si="13"/>
        <v>-4163.8335089885131</v>
      </c>
      <c r="I125" s="6">
        <f t="shared" si="14"/>
        <v>1352668.1116207661</v>
      </c>
      <c r="J125" s="6" t="str">
        <f>IF(B125&lt;&gt;"",IF(AND(Input!$H$54="Annual",MOD(B125,12)=0),Input!$J$54,IF(AND(Input!$H$54="1st Installment",B125=1),Input!$J$54,IF(Input!$H$54="Monthly",Input!$J$54,""))),"")</f>
        <v/>
      </c>
      <c r="K125" s="6">
        <f>IF(B125&lt;&gt;"",IF(AND(Input!$H$55="Annual",MOD(B125,12)=0),Input!$J$55,IF(AND(Input!$H$55="1st Installment",B125=1),Input!$J$55,IF(Input!$H$55="Monthly",Input!$J$55,""))),"")</f>
        <v>0</v>
      </c>
      <c r="L125" s="6" t="str">
        <f>IF(B125&lt;&gt;"",IF(AND(Input!$H$56="Annual",MOD(B125,12)=0),Input!$J$56,IF(AND(Input!$H$56="1st Installment",B125=1),Input!$J$56,IF(Input!$H$56="Monthly",Input!$J$56,""))),"")</f>
        <v/>
      </c>
      <c r="M125" s="6" t="str">
        <f>IF(B125&lt;&gt;"",IF(AND(Input!$H$57="Annual",MOD(B125,12)=0),Input!$J$57,IF(AND(Input!$H$57="1st Installment",B125=1),Input!$J$57,IF(Input!$H$57="Monthly",Input!$J$57,""))),"")</f>
        <v/>
      </c>
      <c r="N125" s="6" t="str">
        <f>IF(B125&lt;&gt;"",IF(AND(Input!$H$58="Annual",MOD(B125,12)=0),Input!$J$58,IF(AND(Input!$H$58="1st Installment",B125=1),Input!$J$58,IF(Input!$H$58="Monthly",Input!$J$58,IF(AND(Input!$H$58="End of the loan",B125=Input!$E$58),Input!$J$58,"")))),"")</f>
        <v/>
      </c>
      <c r="O125" s="6">
        <f t="shared" si="10"/>
        <v>0</v>
      </c>
      <c r="P125" s="4">
        <f t="shared" si="11"/>
        <v>4163.8335089885131</v>
      </c>
      <c r="T125" s="9">
        <f t="shared" si="12"/>
        <v>47842</v>
      </c>
      <c r="U125" s="5">
        <f t="shared" si="15"/>
        <v>4163.83</v>
      </c>
    </row>
    <row r="126" spans="2:21">
      <c r="B126" s="16">
        <f t="shared" si="16"/>
        <v>109</v>
      </c>
      <c r="C126" s="9">
        <f t="shared" si="17"/>
        <v>47873</v>
      </c>
      <c r="D126" s="6">
        <f>IFERROR((PPMT(Input!$E$55/12,B126,$C$6,Input!$E$54,-Input!$E$65,0))," ")</f>
        <v>-1514.858457064513</v>
      </c>
      <c r="E126" s="6">
        <f>IFERROR(((IPMT(Input!$E$55/12,B126,$C$6,Input!$E$54,-Input!$E$65,0)))," ")</f>
        <v>-2648.9750519240006</v>
      </c>
      <c r="F126" s="6">
        <f t="shared" si="19"/>
        <v>-148846.74683629829</v>
      </c>
      <c r="G126" s="6">
        <f t="shared" si="18"/>
        <v>-305011.10564344958</v>
      </c>
      <c r="H126" s="6">
        <f t="shared" si="13"/>
        <v>-4163.8335089885131</v>
      </c>
      <c r="I126" s="6">
        <f t="shared" si="14"/>
        <v>1351153.2531637016</v>
      </c>
      <c r="J126" s="6" t="str">
        <f>IF(B126&lt;&gt;"",IF(AND(Input!$H$54="Annual",MOD(B126,12)=0),Input!$J$54,IF(AND(Input!$H$54="1st Installment",B126=1),Input!$J$54,IF(Input!$H$54="Monthly",Input!$J$54,""))),"")</f>
        <v/>
      </c>
      <c r="K126" s="6">
        <f>IF(B126&lt;&gt;"",IF(AND(Input!$H$55="Annual",MOD(B126,12)=0),Input!$J$55,IF(AND(Input!$H$55="1st Installment",B126=1),Input!$J$55,IF(Input!$H$55="Monthly",Input!$J$55,""))),"")</f>
        <v>0</v>
      </c>
      <c r="L126" s="6" t="str">
        <f>IF(B126&lt;&gt;"",IF(AND(Input!$H$56="Annual",MOD(B126,12)=0),Input!$J$56,IF(AND(Input!$H$56="1st Installment",B126=1),Input!$J$56,IF(Input!$H$56="Monthly",Input!$J$56,""))),"")</f>
        <v/>
      </c>
      <c r="M126" s="6" t="str">
        <f>IF(B126&lt;&gt;"",IF(AND(Input!$H$57="Annual",MOD(B126,12)=0),Input!$J$57,IF(AND(Input!$H$57="1st Installment",B126=1),Input!$J$57,IF(Input!$H$57="Monthly",Input!$J$57,""))),"")</f>
        <v/>
      </c>
      <c r="N126" s="6" t="str">
        <f>IF(B126&lt;&gt;"",IF(AND(Input!$H$58="Annual",MOD(B126,12)=0),Input!$J$58,IF(AND(Input!$H$58="1st Installment",B126=1),Input!$J$58,IF(Input!$H$58="Monthly",Input!$J$58,IF(AND(Input!$H$58="End of the loan",B126=Input!$E$58),Input!$J$58,"")))),"")</f>
        <v/>
      </c>
      <c r="O126" s="6">
        <f t="shared" si="10"/>
        <v>0</v>
      </c>
      <c r="P126" s="4">
        <f t="shared" si="11"/>
        <v>4163.8335089885131</v>
      </c>
      <c r="T126" s="9">
        <f t="shared" si="12"/>
        <v>47873</v>
      </c>
      <c r="U126" s="5">
        <f t="shared" si="15"/>
        <v>4163.83</v>
      </c>
    </row>
    <row r="127" spans="2:21">
      <c r="B127" s="16">
        <f t="shared" si="16"/>
        <v>110</v>
      </c>
      <c r="C127" s="9">
        <f t="shared" si="17"/>
        <v>47904</v>
      </c>
      <c r="D127" s="6">
        <f>IFERROR((PPMT(Input!$E$55/12,B127,$C$6,Input!$E$54,-Input!$E$65,0))," ")</f>
        <v>-1517.8250548762646</v>
      </c>
      <c r="E127" s="6">
        <f>IFERROR(((IPMT(Input!$E$55/12,B127,$C$6,Input!$E$54,-Input!$E$65,0)))," ")</f>
        <v>-2646.0084541122492</v>
      </c>
      <c r="F127" s="6">
        <f t="shared" si="19"/>
        <v>-150364.57189117456</v>
      </c>
      <c r="G127" s="6">
        <f t="shared" si="18"/>
        <v>-307657.11409756186</v>
      </c>
      <c r="H127" s="6">
        <f t="shared" si="13"/>
        <v>-4163.833508988514</v>
      </c>
      <c r="I127" s="6">
        <f t="shared" si="14"/>
        <v>1349635.4281088253</v>
      </c>
      <c r="J127" s="6" t="str">
        <f>IF(B127&lt;&gt;"",IF(AND(Input!$H$54="Annual",MOD(B127,12)=0),Input!$J$54,IF(AND(Input!$H$54="1st Installment",B127=1),Input!$J$54,IF(Input!$H$54="Monthly",Input!$J$54,""))),"")</f>
        <v/>
      </c>
      <c r="K127" s="6">
        <f>IF(B127&lt;&gt;"",IF(AND(Input!$H$55="Annual",MOD(B127,12)=0),Input!$J$55,IF(AND(Input!$H$55="1st Installment",B127=1),Input!$J$55,IF(Input!$H$55="Monthly",Input!$J$55,""))),"")</f>
        <v>0</v>
      </c>
      <c r="L127" s="6" t="str">
        <f>IF(B127&lt;&gt;"",IF(AND(Input!$H$56="Annual",MOD(B127,12)=0),Input!$J$56,IF(AND(Input!$H$56="1st Installment",B127=1),Input!$J$56,IF(Input!$H$56="Monthly",Input!$J$56,""))),"")</f>
        <v/>
      </c>
      <c r="M127" s="6" t="str">
        <f>IF(B127&lt;&gt;"",IF(AND(Input!$H$57="Annual",MOD(B127,12)=0),Input!$J$57,IF(AND(Input!$H$57="1st Installment",B127=1),Input!$J$57,IF(Input!$H$57="Monthly",Input!$J$57,""))),"")</f>
        <v/>
      </c>
      <c r="N127" s="6" t="str">
        <f>IF(B127&lt;&gt;"",IF(AND(Input!$H$58="Annual",MOD(B127,12)=0),Input!$J$58,IF(AND(Input!$H$58="1st Installment",B127=1),Input!$J$58,IF(Input!$H$58="Monthly",Input!$J$58,IF(AND(Input!$H$58="End of the loan",B127=Input!$E$58),Input!$J$58,"")))),"")</f>
        <v/>
      </c>
      <c r="O127" s="6">
        <f t="shared" si="10"/>
        <v>0</v>
      </c>
      <c r="P127" s="4">
        <f t="shared" si="11"/>
        <v>4163.833508988514</v>
      </c>
      <c r="T127" s="9">
        <f t="shared" si="12"/>
        <v>47904</v>
      </c>
      <c r="U127" s="5">
        <f t="shared" si="15"/>
        <v>4163.83</v>
      </c>
    </row>
    <row r="128" spans="2:21">
      <c r="B128" s="16">
        <f t="shared" si="16"/>
        <v>111</v>
      </c>
      <c r="C128" s="9">
        <f t="shared" si="17"/>
        <v>47932</v>
      </c>
      <c r="D128" s="6">
        <f>IFERROR((PPMT(Input!$E$55/12,B128,$C$6,Input!$E$54,-Input!$E$65,0))," ")</f>
        <v>-1520.797462275397</v>
      </c>
      <c r="E128" s="6">
        <f>IFERROR(((IPMT(Input!$E$55/12,B128,$C$6,Input!$E$54,-Input!$E$65,0)))," ")</f>
        <v>-2643.0360467131168</v>
      </c>
      <c r="F128" s="6">
        <f t="shared" si="19"/>
        <v>-151885.36935344996</v>
      </c>
      <c r="G128" s="6">
        <f t="shared" si="18"/>
        <v>-310300.15014427499</v>
      </c>
      <c r="H128" s="6">
        <f t="shared" si="13"/>
        <v>-4163.833508988514</v>
      </c>
      <c r="I128" s="6">
        <f t="shared" si="14"/>
        <v>1348114.6306465501</v>
      </c>
      <c r="J128" s="6" t="str">
        <f>IF(B128&lt;&gt;"",IF(AND(Input!$H$54="Annual",MOD(B128,12)=0),Input!$J$54,IF(AND(Input!$H$54="1st Installment",B128=1),Input!$J$54,IF(Input!$H$54="Monthly",Input!$J$54,""))),"")</f>
        <v/>
      </c>
      <c r="K128" s="6">
        <f>IF(B128&lt;&gt;"",IF(AND(Input!$H$55="Annual",MOD(B128,12)=0),Input!$J$55,IF(AND(Input!$H$55="1st Installment",B128=1),Input!$J$55,IF(Input!$H$55="Monthly",Input!$J$55,""))),"")</f>
        <v>0</v>
      </c>
      <c r="L128" s="6" t="str">
        <f>IF(B128&lt;&gt;"",IF(AND(Input!$H$56="Annual",MOD(B128,12)=0),Input!$J$56,IF(AND(Input!$H$56="1st Installment",B128=1),Input!$J$56,IF(Input!$H$56="Monthly",Input!$J$56,""))),"")</f>
        <v/>
      </c>
      <c r="M128" s="6" t="str">
        <f>IF(B128&lt;&gt;"",IF(AND(Input!$H$57="Annual",MOD(B128,12)=0),Input!$J$57,IF(AND(Input!$H$57="1st Installment",B128=1),Input!$J$57,IF(Input!$H$57="Monthly",Input!$J$57,""))),"")</f>
        <v/>
      </c>
      <c r="N128" s="6" t="str">
        <f>IF(B128&lt;&gt;"",IF(AND(Input!$H$58="Annual",MOD(B128,12)=0),Input!$J$58,IF(AND(Input!$H$58="1st Installment",B128=1),Input!$J$58,IF(Input!$H$58="Monthly",Input!$J$58,IF(AND(Input!$H$58="End of the loan",B128=Input!$E$58),Input!$J$58,"")))),"")</f>
        <v/>
      </c>
      <c r="O128" s="6">
        <f t="shared" si="10"/>
        <v>0</v>
      </c>
      <c r="P128" s="4">
        <f t="shared" si="11"/>
        <v>4163.833508988514</v>
      </c>
      <c r="T128" s="9">
        <f t="shared" si="12"/>
        <v>47932</v>
      </c>
      <c r="U128" s="5">
        <f t="shared" si="15"/>
        <v>4163.83</v>
      </c>
    </row>
    <row r="129" spans="2:21">
      <c r="B129" s="16">
        <f t="shared" si="16"/>
        <v>112</v>
      </c>
      <c r="C129" s="9">
        <f t="shared" si="17"/>
        <v>47963</v>
      </c>
      <c r="D129" s="6">
        <f>IFERROR((PPMT(Input!$E$55/12,B129,$C$6,Input!$E$54,-Input!$E$65,0))," ")</f>
        <v>-1523.77569063902</v>
      </c>
      <c r="E129" s="6">
        <f>IFERROR(((IPMT(Input!$E$55/12,B129,$C$6,Input!$E$54,-Input!$E$65,0)))," ")</f>
        <v>-2640.0578183494936</v>
      </c>
      <c r="F129" s="6">
        <f t="shared" si="19"/>
        <v>-153409.14504408897</v>
      </c>
      <c r="G129" s="6">
        <f t="shared" si="18"/>
        <v>-312940.2079626245</v>
      </c>
      <c r="H129" s="6">
        <f t="shared" si="13"/>
        <v>-4163.8335089885131</v>
      </c>
      <c r="I129" s="6">
        <f t="shared" si="14"/>
        <v>1346590.8549559109</v>
      </c>
      <c r="J129" s="6" t="str">
        <f>IF(B129&lt;&gt;"",IF(AND(Input!$H$54="Annual",MOD(B129,12)=0),Input!$J$54,IF(AND(Input!$H$54="1st Installment",B129=1),Input!$J$54,IF(Input!$H$54="Monthly",Input!$J$54,""))),"")</f>
        <v/>
      </c>
      <c r="K129" s="6">
        <f>IF(B129&lt;&gt;"",IF(AND(Input!$H$55="Annual",MOD(B129,12)=0),Input!$J$55,IF(AND(Input!$H$55="1st Installment",B129=1),Input!$J$55,IF(Input!$H$55="Monthly",Input!$J$55,""))),"")</f>
        <v>0</v>
      </c>
      <c r="L129" s="6" t="str">
        <f>IF(B129&lt;&gt;"",IF(AND(Input!$H$56="Annual",MOD(B129,12)=0),Input!$J$56,IF(AND(Input!$H$56="1st Installment",B129=1),Input!$J$56,IF(Input!$H$56="Monthly",Input!$J$56,""))),"")</f>
        <v/>
      </c>
      <c r="M129" s="6" t="str">
        <f>IF(B129&lt;&gt;"",IF(AND(Input!$H$57="Annual",MOD(B129,12)=0),Input!$J$57,IF(AND(Input!$H$57="1st Installment",B129=1),Input!$J$57,IF(Input!$H$57="Monthly",Input!$J$57,""))),"")</f>
        <v/>
      </c>
      <c r="N129" s="6" t="str">
        <f>IF(B129&lt;&gt;"",IF(AND(Input!$H$58="Annual",MOD(B129,12)=0),Input!$J$58,IF(AND(Input!$H$58="1st Installment",B129=1),Input!$J$58,IF(Input!$H$58="Monthly",Input!$J$58,IF(AND(Input!$H$58="End of the loan",B129=Input!$E$58),Input!$J$58,"")))),"")</f>
        <v/>
      </c>
      <c r="O129" s="6">
        <f t="shared" si="10"/>
        <v>0</v>
      </c>
      <c r="P129" s="4">
        <f t="shared" si="11"/>
        <v>4163.8335089885131</v>
      </c>
      <c r="T129" s="9">
        <f t="shared" si="12"/>
        <v>47963</v>
      </c>
      <c r="U129" s="5">
        <f t="shared" si="15"/>
        <v>4163.83</v>
      </c>
    </row>
    <row r="130" spans="2:21">
      <c r="B130" s="16">
        <f t="shared" si="16"/>
        <v>113</v>
      </c>
      <c r="C130" s="9">
        <f t="shared" si="17"/>
        <v>47993</v>
      </c>
      <c r="D130" s="6">
        <f>IFERROR((PPMT(Input!$E$55/12,B130,$C$6,Input!$E$54,-Input!$E$65,0))," ")</f>
        <v>-1526.7597513665212</v>
      </c>
      <c r="E130" s="6">
        <f>IFERROR(((IPMT(Input!$E$55/12,B130,$C$6,Input!$E$54,-Input!$E$65,0)))," ")</f>
        <v>-2637.0737576219926</v>
      </c>
      <c r="F130" s="6">
        <f t="shared" si="19"/>
        <v>-154935.90479545548</v>
      </c>
      <c r="G130" s="6">
        <f t="shared" si="18"/>
        <v>-315577.28172024648</v>
      </c>
      <c r="H130" s="6">
        <f t="shared" si="13"/>
        <v>-4163.833508988514</v>
      </c>
      <c r="I130" s="6">
        <f t="shared" si="14"/>
        <v>1345064.0952045445</v>
      </c>
      <c r="J130" s="6" t="str">
        <f>IF(B130&lt;&gt;"",IF(AND(Input!$H$54="Annual",MOD(B130,12)=0),Input!$J$54,IF(AND(Input!$H$54="1st Installment",B130=1),Input!$J$54,IF(Input!$H$54="Monthly",Input!$J$54,""))),"")</f>
        <v/>
      </c>
      <c r="K130" s="6">
        <f>IF(B130&lt;&gt;"",IF(AND(Input!$H$55="Annual",MOD(B130,12)=0),Input!$J$55,IF(AND(Input!$H$55="1st Installment",B130=1),Input!$J$55,IF(Input!$H$55="Monthly",Input!$J$55,""))),"")</f>
        <v>0</v>
      </c>
      <c r="L130" s="6" t="str">
        <f>IF(B130&lt;&gt;"",IF(AND(Input!$H$56="Annual",MOD(B130,12)=0),Input!$J$56,IF(AND(Input!$H$56="1st Installment",B130=1),Input!$J$56,IF(Input!$H$56="Monthly",Input!$J$56,""))),"")</f>
        <v/>
      </c>
      <c r="M130" s="6" t="str">
        <f>IF(B130&lt;&gt;"",IF(AND(Input!$H$57="Annual",MOD(B130,12)=0),Input!$J$57,IF(AND(Input!$H$57="1st Installment",B130=1),Input!$J$57,IF(Input!$H$57="Monthly",Input!$J$57,""))),"")</f>
        <v/>
      </c>
      <c r="N130" s="6" t="str">
        <f>IF(B130&lt;&gt;"",IF(AND(Input!$H$58="Annual",MOD(B130,12)=0),Input!$J$58,IF(AND(Input!$H$58="1st Installment",B130=1),Input!$J$58,IF(Input!$H$58="Monthly",Input!$J$58,IF(AND(Input!$H$58="End of the loan",B130=Input!$E$58),Input!$J$58,"")))),"")</f>
        <v/>
      </c>
      <c r="O130" s="6">
        <f t="shared" si="10"/>
        <v>0</v>
      </c>
      <c r="P130" s="4">
        <f t="shared" si="11"/>
        <v>4163.833508988514</v>
      </c>
      <c r="T130" s="9">
        <f t="shared" si="12"/>
        <v>47993</v>
      </c>
      <c r="U130" s="5">
        <f t="shared" si="15"/>
        <v>4163.83</v>
      </c>
    </row>
    <row r="131" spans="2:21">
      <c r="B131" s="16">
        <f t="shared" si="16"/>
        <v>114</v>
      </c>
      <c r="C131" s="9">
        <f t="shared" si="17"/>
        <v>48024</v>
      </c>
      <c r="D131" s="6">
        <f>IFERROR((PPMT(Input!$E$55/12,B131,$C$6,Input!$E$54,-Input!$E$65,0))," ")</f>
        <v>-1529.7496558796138</v>
      </c>
      <c r="E131" s="6">
        <f>IFERROR(((IPMT(Input!$E$55/12,B131,$C$6,Input!$E$54,-Input!$E$65,0)))," ")</f>
        <v>-2634.0838531088998</v>
      </c>
      <c r="F131" s="6">
        <f t="shared" si="19"/>
        <v>-156465.65445133511</v>
      </c>
      <c r="G131" s="6">
        <f t="shared" si="18"/>
        <v>-318211.3655733554</v>
      </c>
      <c r="H131" s="6">
        <f t="shared" si="13"/>
        <v>-4163.8335089885131</v>
      </c>
      <c r="I131" s="6">
        <f t="shared" si="14"/>
        <v>1343534.3455486649</v>
      </c>
      <c r="J131" s="6" t="str">
        <f>IF(B131&lt;&gt;"",IF(AND(Input!$H$54="Annual",MOD(B131,12)=0),Input!$J$54,IF(AND(Input!$H$54="1st Installment",B131=1),Input!$J$54,IF(Input!$H$54="Monthly",Input!$J$54,""))),"")</f>
        <v/>
      </c>
      <c r="K131" s="6">
        <f>IF(B131&lt;&gt;"",IF(AND(Input!$H$55="Annual",MOD(B131,12)=0),Input!$J$55,IF(AND(Input!$H$55="1st Installment",B131=1),Input!$J$55,IF(Input!$H$55="Monthly",Input!$J$55,""))),"")</f>
        <v>0</v>
      </c>
      <c r="L131" s="6" t="str">
        <f>IF(B131&lt;&gt;"",IF(AND(Input!$H$56="Annual",MOD(B131,12)=0),Input!$J$56,IF(AND(Input!$H$56="1st Installment",B131=1),Input!$J$56,IF(Input!$H$56="Monthly",Input!$J$56,""))),"")</f>
        <v/>
      </c>
      <c r="M131" s="6" t="str">
        <f>IF(B131&lt;&gt;"",IF(AND(Input!$H$57="Annual",MOD(B131,12)=0),Input!$J$57,IF(AND(Input!$H$57="1st Installment",B131=1),Input!$J$57,IF(Input!$H$57="Monthly",Input!$J$57,""))),"")</f>
        <v/>
      </c>
      <c r="N131" s="6" t="str">
        <f>IF(B131&lt;&gt;"",IF(AND(Input!$H$58="Annual",MOD(B131,12)=0),Input!$J$58,IF(AND(Input!$H$58="1st Installment",B131=1),Input!$J$58,IF(Input!$H$58="Monthly",Input!$J$58,IF(AND(Input!$H$58="End of the loan",B131=Input!$E$58),Input!$J$58,"")))),"")</f>
        <v/>
      </c>
      <c r="O131" s="6">
        <f t="shared" si="10"/>
        <v>0</v>
      </c>
      <c r="P131" s="4">
        <f t="shared" si="11"/>
        <v>4163.8335089885131</v>
      </c>
      <c r="T131" s="9">
        <f t="shared" si="12"/>
        <v>48024</v>
      </c>
      <c r="U131" s="5">
        <f t="shared" si="15"/>
        <v>4163.83</v>
      </c>
    </row>
    <row r="132" spans="2:21">
      <c r="B132" s="16">
        <f t="shared" si="16"/>
        <v>115</v>
      </c>
      <c r="C132" s="9">
        <f t="shared" si="17"/>
        <v>48054</v>
      </c>
      <c r="D132" s="6">
        <f>IFERROR((PPMT(Input!$E$55/12,B132,$C$6,Input!$E$54,-Input!$E$65,0))," ")</f>
        <v>-1532.7454156223785</v>
      </c>
      <c r="E132" s="6">
        <f>IFERROR(((IPMT(Input!$E$55/12,B132,$C$6,Input!$E$54,-Input!$E$65,0)))," ")</f>
        <v>-2631.0880933661356</v>
      </c>
      <c r="F132" s="6">
        <f t="shared" si="19"/>
        <v>-157998.39986695748</v>
      </c>
      <c r="G132" s="6">
        <f t="shared" si="18"/>
        <v>-320842.45366672153</v>
      </c>
      <c r="H132" s="6">
        <f t="shared" si="13"/>
        <v>-4163.833508988514</v>
      </c>
      <c r="I132" s="6">
        <f t="shared" si="14"/>
        <v>1342001.6001330425</v>
      </c>
      <c r="J132" s="6" t="str">
        <f>IF(B132&lt;&gt;"",IF(AND(Input!$H$54="Annual",MOD(B132,12)=0),Input!$J$54,IF(AND(Input!$H$54="1st Installment",B132=1),Input!$J$54,IF(Input!$H$54="Monthly",Input!$J$54,""))),"")</f>
        <v/>
      </c>
      <c r="K132" s="6">
        <f>IF(B132&lt;&gt;"",IF(AND(Input!$H$55="Annual",MOD(B132,12)=0),Input!$J$55,IF(AND(Input!$H$55="1st Installment",B132=1),Input!$J$55,IF(Input!$H$55="Monthly",Input!$J$55,""))),"")</f>
        <v>0</v>
      </c>
      <c r="L132" s="6" t="str">
        <f>IF(B132&lt;&gt;"",IF(AND(Input!$H$56="Annual",MOD(B132,12)=0),Input!$J$56,IF(AND(Input!$H$56="1st Installment",B132=1),Input!$J$56,IF(Input!$H$56="Monthly",Input!$J$56,""))),"")</f>
        <v/>
      </c>
      <c r="M132" s="6" t="str">
        <f>IF(B132&lt;&gt;"",IF(AND(Input!$H$57="Annual",MOD(B132,12)=0),Input!$J$57,IF(AND(Input!$H$57="1st Installment",B132=1),Input!$J$57,IF(Input!$H$57="Monthly",Input!$J$57,""))),"")</f>
        <v/>
      </c>
      <c r="N132" s="6" t="str">
        <f>IF(B132&lt;&gt;"",IF(AND(Input!$H$58="Annual",MOD(B132,12)=0),Input!$J$58,IF(AND(Input!$H$58="1st Installment",B132=1),Input!$J$58,IF(Input!$H$58="Monthly",Input!$J$58,IF(AND(Input!$H$58="End of the loan",B132=Input!$E$58),Input!$J$58,"")))),"")</f>
        <v/>
      </c>
      <c r="O132" s="6">
        <f t="shared" si="10"/>
        <v>0</v>
      </c>
      <c r="P132" s="4">
        <f t="shared" si="11"/>
        <v>4163.833508988514</v>
      </c>
      <c r="T132" s="9">
        <f t="shared" si="12"/>
        <v>48054</v>
      </c>
      <c r="U132" s="5">
        <f t="shared" si="15"/>
        <v>4163.83</v>
      </c>
    </row>
    <row r="133" spans="2:21">
      <c r="B133" s="16">
        <f t="shared" si="16"/>
        <v>116</v>
      </c>
      <c r="C133" s="9">
        <f t="shared" si="17"/>
        <v>48085</v>
      </c>
      <c r="D133" s="6">
        <f>IFERROR((PPMT(Input!$E$55/12,B133,$C$6,Input!$E$54,-Input!$E$65,0))," ")</f>
        <v>-1535.7470420613054</v>
      </c>
      <c r="E133" s="6">
        <f>IFERROR(((IPMT(Input!$E$55/12,B133,$C$6,Input!$E$54,-Input!$E$65,0)))," ")</f>
        <v>-2628.0864669272082</v>
      </c>
      <c r="F133" s="6">
        <f t="shared" si="19"/>
        <v>-159534.14690901877</v>
      </c>
      <c r="G133" s="6">
        <f t="shared" si="18"/>
        <v>-323470.54013364873</v>
      </c>
      <c r="H133" s="6">
        <f t="shared" si="13"/>
        <v>-4163.8335089885131</v>
      </c>
      <c r="I133" s="6">
        <f t="shared" si="14"/>
        <v>1340465.8530909813</v>
      </c>
      <c r="J133" s="6" t="str">
        <f>IF(B133&lt;&gt;"",IF(AND(Input!$H$54="Annual",MOD(B133,12)=0),Input!$J$54,IF(AND(Input!$H$54="1st Installment",B133=1),Input!$J$54,IF(Input!$H$54="Monthly",Input!$J$54,""))),"")</f>
        <v/>
      </c>
      <c r="K133" s="6">
        <f>IF(B133&lt;&gt;"",IF(AND(Input!$H$55="Annual",MOD(B133,12)=0),Input!$J$55,IF(AND(Input!$H$55="1st Installment",B133=1),Input!$J$55,IF(Input!$H$55="Monthly",Input!$J$55,""))),"")</f>
        <v>0</v>
      </c>
      <c r="L133" s="6" t="str">
        <f>IF(B133&lt;&gt;"",IF(AND(Input!$H$56="Annual",MOD(B133,12)=0),Input!$J$56,IF(AND(Input!$H$56="1st Installment",B133=1),Input!$J$56,IF(Input!$H$56="Monthly",Input!$J$56,""))),"")</f>
        <v/>
      </c>
      <c r="M133" s="6" t="str">
        <f>IF(B133&lt;&gt;"",IF(AND(Input!$H$57="Annual",MOD(B133,12)=0),Input!$J$57,IF(AND(Input!$H$57="1st Installment",B133=1),Input!$J$57,IF(Input!$H$57="Monthly",Input!$J$57,""))),"")</f>
        <v/>
      </c>
      <c r="N133" s="6" t="str">
        <f>IF(B133&lt;&gt;"",IF(AND(Input!$H$58="Annual",MOD(B133,12)=0),Input!$J$58,IF(AND(Input!$H$58="1st Installment",B133=1),Input!$J$58,IF(Input!$H$58="Monthly",Input!$J$58,IF(AND(Input!$H$58="End of the loan",B133=Input!$E$58),Input!$J$58,"")))),"")</f>
        <v/>
      </c>
      <c r="O133" s="6">
        <f t="shared" si="10"/>
        <v>0</v>
      </c>
      <c r="P133" s="4">
        <f t="shared" si="11"/>
        <v>4163.8335089885131</v>
      </c>
      <c r="T133" s="9">
        <f t="shared" si="12"/>
        <v>48085</v>
      </c>
      <c r="U133" s="5">
        <f t="shared" si="15"/>
        <v>4163.83</v>
      </c>
    </row>
    <row r="134" spans="2:21">
      <c r="B134" s="16">
        <f t="shared" si="16"/>
        <v>117</v>
      </c>
      <c r="C134" s="9">
        <f t="shared" si="17"/>
        <v>48116</v>
      </c>
      <c r="D134" s="6">
        <f>IFERROR((PPMT(Input!$E$55/12,B134,$C$6,Input!$E$54,-Input!$E$65,0))," ")</f>
        <v>-1538.7545466853423</v>
      </c>
      <c r="E134" s="6">
        <f>IFERROR(((IPMT(Input!$E$55/12,B134,$C$6,Input!$E$54,-Input!$E$65,0)))," ")</f>
        <v>-2625.0789623031715</v>
      </c>
      <c r="F134" s="6">
        <f t="shared" si="19"/>
        <v>-161072.90145570412</v>
      </c>
      <c r="G134" s="6">
        <f t="shared" si="18"/>
        <v>-326095.6190959519</v>
      </c>
      <c r="H134" s="6">
        <f t="shared" si="13"/>
        <v>-4163.833508988514</v>
      </c>
      <c r="I134" s="6">
        <f t="shared" si="14"/>
        <v>1338927.0985442959</v>
      </c>
      <c r="J134" s="6" t="str">
        <f>IF(B134&lt;&gt;"",IF(AND(Input!$H$54="Annual",MOD(B134,12)=0),Input!$J$54,IF(AND(Input!$H$54="1st Installment",B134=1),Input!$J$54,IF(Input!$H$54="Monthly",Input!$J$54,""))),"")</f>
        <v/>
      </c>
      <c r="K134" s="6">
        <f>IF(B134&lt;&gt;"",IF(AND(Input!$H$55="Annual",MOD(B134,12)=0),Input!$J$55,IF(AND(Input!$H$55="1st Installment",B134=1),Input!$J$55,IF(Input!$H$55="Monthly",Input!$J$55,""))),"")</f>
        <v>0</v>
      </c>
      <c r="L134" s="6" t="str">
        <f>IF(B134&lt;&gt;"",IF(AND(Input!$H$56="Annual",MOD(B134,12)=0),Input!$J$56,IF(AND(Input!$H$56="1st Installment",B134=1),Input!$J$56,IF(Input!$H$56="Monthly",Input!$J$56,""))),"")</f>
        <v/>
      </c>
      <c r="M134" s="6" t="str">
        <f>IF(B134&lt;&gt;"",IF(AND(Input!$H$57="Annual",MOD(B134,12)=0),Input!$J$57,IF(AND(Input!$H$57="1st Installment",B134=1),Input!$J$57,IF(Input!$H$57="Monthly",Input!$J$57,""))),"")</f>
        <v/>
      </c>
      <c r="N134" s="6" t="str">
        <f>IF(B134&lt;&gt;"",IF(AND(Input!$H$58="Annual",MOD(B134,12)=0),Input!$J$58,IF(AND(Input!$H$58="1st Installment",B134=1),Input!$J$58,IF(Input!$H$58="Monthly",Input!$J$58,IF(AND(Input!$H$58="End of the loan",B134=Input!$E$58),Input!$J$58,"")))),"")</f>
        <v/>
      </c>
      <c r="O134" s="6">
        <f t="shared" si="10"/>
        <v>0</v>
      </c>
      <c r="P134" s="4">
        <f t="shared" si="11"/>
        <v>4163.833508988514</v>
      </c>
      <c r="T134" s="9">
        <f t="shared" si="12"/>
        <v>48116</v>
      </c>
      <c r="U134" s="5">
        <f t="shared" si="15"/>
        <v>4163.83</v>
      </c>
    </row>
    <row r="135" spans="2:21">
      <c r="B135" s="16">
        <f t="shared" si="16"/>
        <v>118</v>
      </c>
      <c r="C135" s="9">
        <f t="shared" si="17"/>
        <v>48146</v>
      </c>
      <c r="D135" s="6">
        <f>IFERROR((PPMT(Input!$E$55/12,B135,$C$6,Input!$E$54,-Input!$E$65,0))," ")</f>
        <v>-1541.7679410059343</v>
      </c>
      <c r="E135" s="6">
        <f>IFERROR(((IPMT(Input!$E$55/12,B135,$C$6,Input!$E$54,-Input!$E$65,0)))," ")</f>
        <v>-2622.0655679825791</v>
      </c>
      <c r="F135" s="6">
        <f t="shared" si="19"/>
        <v>-162614.66939671006</v>
      </c>
      <c r="G135" s="6">
        <f t="shared" si="18"/>
        <v>-328717.68466393446</v>
      </c>
      <c r="H135" s="6">
        <f t="shared" si="13"/>
        <v>-4163.8335089885131</v>
      </c>
      <c r="I135" s="6">
        <f t="shared" si="14"/>
        <v>1337385.3306032899</v>
      </c>
      <c r="J135" s="6" t="str">
        <f>IF(B135&lt;&gt;"",IF(AND(Input!$H$54="Annual",MOD(B135,12)=0),Input!$J$54,IF(AND(Input!$H$54="1st Installment",B135=1),Input!$J$54,IF(Input!$H$54="Monthly",Input!$J$54,""))),"")</f>
        <v/>
      </c>
      <c r="K135" s="6">
        <f>IF(B135&lt;&gt;"",IF(AND(Input!$H$55="Annual",MOD(B135,12)=0),Input!$J$55,IF(AND(Input!$H$55="1st Installment",B135=1),Input!$J$55,IF(Input!$H$55="Monthly",Input!$J$55,""))),"")</f>
        <v>0</v>
      </c>
      <c r="L135" s="6" t="str">
        <f>IF(B135&lt;&gt;"",IF(AND(Input!$H$56="Annual",MOD(B135,12)=0),Input!$J$56,IF(AND(Input!$H$56="1st Installment",B135=1),Input!$J$56,IF(Input!$H$56="Monthly",Input!$J$56,""))),"")</f>
        <v/>
      </c>
      <c r="M135" s="6" t="str">
        <f>IF(B135&lt;&gt;"",IF(AND(Input!$H$57="Annual",MOD(B135,12)=0),Input!$J$57,IF(AND(Input!$H$57="1st Installment",B135=1),Input!$J$57,IF(Input!$H$57="Monthly",Input!$J$57,""))),"")</f>
        <v/>
      </c>
      <c r="N135" s="6" t="str">
        <f>IF(B135&lt;&gt;"",IF(AND(Input!$H$58="Annual",MOD(B135,12)=0),Input!$J$58,IF(AND(Input!$H$58="1st Installment",B135=1),Input!$J$58,IF(Input!$H$58="Monthly",Input!$J$58,IF(AND(Input!$H$58="End of the loan",B135=Input!$E$58),Input!$J$58,"")))),"")</f>
        <v/>
      </c>
      <c r="O135" s="6">
        <f t="shared" si="10"/>
        <v>0</v>
      </c>
      <c r="P135" s="4">
        <f t="shared" si="11"/>
        <v>4163.8335089885131</v>
      </c>
      <c r="T135" s="9">
        <f t="shared" si="12"/>
        <v>48146</v>
      </c>
      <c r="U135" s="5">
        <f t="shared" si="15"/>
        <v>4163.83</v>
      </c>
    </row>
    <row r="136" spans="2:21">
      <c r="B136" s="16">
        <f t="shared" si="16"/>
        <v>119</v>
      </c>
      <c r="C136" s="9">
        <f t="shared" si="17"/>
        <v>48177</v>
      </c>
      <c r="D136" s="6">
        <f>IFERROR((PPMT(Input!$E$55/12,B136,$C$6,Input!$E$54,-Input!$E$65,0))," ")</f>
        <v>-1544.7872365570709</v>
      </c>
      <c r="E136" s="6">
        <f>IFERROR(((IPMT(Input!$E$55/12,B136,$C$6,Input!$E$54,-Input!$E$65,0)))," ")</f>
        <v>-2619.046272431443</v>
      </c>
      <c r="F136" s="6">
        <f t="shared" si="19"/>
        <v>-164159.45663326714</v>
      </c>
      <c r="G136" s="6">
        <f t="shared" si="18"/>
        <v>-331336.7309363659</v>
      </c>
      <c r="H136" s="6">
        <f t="shared" si="13"/>
        <v>-4163.833508988514</v>
      </c>
      <c r="I136" s="6">
        <f t="shared" si="14"/>
        <v>1335840.5433667328</v>
      </c>
      <c r="J136" s="6" t="str">
        <f>IF(B136&lt;&gt;"",IF(AND(Input!$H$54="Annual",MOD(B136,12)=0),Input!$J$54,IF(AND(Input!$H$54="1st Installment",B136=1),Input!$J$54,IF(Input!$H$54="Monthly",Input!$J$54,""))),"")</f>
        <v/>
      </c>
      <c r="K136" s="6">
        <f>IF(B136&lt;&gt;"",IF(AND(Input!$H$55="Annual",MOD(B136,12)=0),Input!$J$55,IF(AND(Input!$H$55="1st Installment",B136=1),Input!$J$55,IF(Input!$H$55="Monthly",Input!$J$55,""))),"")</f>
        <v>0</v>
      </c>
      <c r="L136" s="6" t="str">
        <f>IF(B136&lt;&gt;"",IF(AND(Input!$H$56="Annual",MOD(B136,12)=0),Input!$J$56,IF(AND(Input!$H$56="1st Installment",B136=1),Input!$J$56,IF(Input!$H$56="Monthly",Input!$J$56,""))),"")</f>
        <v/>
      </c>
      <c r="M136" s="6" t="str">
        <f>IF(B136&lt;&gt;"",IF(AND(Input!$H$57="Annual",MOD(B136,12)=0),Input!$J$57,IF(AND(Input!$H$57="1st Installment",B136=1),Input!$J$57,IF(Input!$H$57="Monthly",Input!$J$57,""))),"")</f>
        <v/>
      </c>
      <c r="N136" s="6" t="str">
        <f>IF(B136&lt;&gt;"",IF(AND(Input!$H$58="Annual",MOD(B136,12)=0),Input!$J$58,IF(AND(Input!$H$58="1st Installment",B136=1),Input!$J$58,IF(Input!$H$58="Monthly",Input!$J$58,IF(AND(Input!$H$58="End of the loan",B136=Input!$E$58),Input!$J$58,"")))),"")</f>
        <v/>
      </c>
      <c r="O136" s="6">
        <f t="shared" si="10"/>
        <v>0</v>
      </c>
      <c r="P136" s="4">
        <f t="shared" si="11"/>
        <v>4163.833508988514</v>
      </c>
      <c r="T136" s="9">
        <f t="shared" si="12"/>
        <v>48177</v>
      </c>
      <c r="U136" s="5">
        <f t="shared" si="15"/>
        <v>4163.83</v>
      </c>
    </row>
    <row r="137" spans="2:21">
      <c r="B137" s="16">
        <f t="shared" si="16"/>
        <v>120</v>
      </c>
      <c r="C137" s="9">
        <f t="shared" si="17"/>
        <v>48207</v>
      </c>
      <c r="D137" s="6">
        <f>IFERROR((PPMT(Input!$E$55/12,B137,$C$6,Input!$E$54,-Input!$E$65,0))," ")</f>
        <v>-1547.8124448953283</v>
      </c>
      <c r="E137" s="6">
        <f>IFERROR(((IPMT(Input!$E$55/12,B137,$C$6,Input!$E$54,-Input!$E$65,0)))," ")</f>
        <v>-2616.0210640931855</v>
      </c>
      <c r="F137" s="6">
        <f t="shared" si="19"/>
        <v>-165707.26907816247</v>
      </c>
      <c r="G137" s="6">
        <f t="shared" si="18"/>
        <v>-333952.75200045906</v>
      </c>
      <c r="H137" s="6">
        <f t="shared" si="13"/>
        <v>-4163.833508988514</v>
      </c>
      <c r="I137" s="6">
        <f t="shared" si="14"/>
        <v>1334292.7309218375</v>
      </c>
      <c r="J137" s="6" t="str">
        <f>IF(B137&lt;&gt;"",IF(AND(Input!$H$54="Annual",MOD(B137,12)=0),Input!$J$54,IF(AND(Input!$H$54="1st Installment",B137=1),Input!$J$54,IF(Input!$H$54="Monthly",Input!$J$54,""))),"")</f>
        <v/>
      </c>
      <c r="K137" s="6">
        <f>IF(B137&lt;&gt;"",IF(AND(Input!$H$55="Annual",MOD(B137,12)=0),Input!$J$55,IF(AND(Input!$H$55="1st Installment",B137=1),Input!$J$55,IF(Input!$H$55="Monthly",Input!$J$55,""))),"")</f>
        <v>0</v>
      </c>
      <c r="L137" s="6" t="str">
        <f>IF(B137&lt;&gt;"",IF(AND(Input!$H$56="Annual",MOD(B137,12)=0),Input!$J$56,IF(AND(Input!$H$56="1st Installment",B137=1),Input!$J$56,IF(Input!$H$56="Monthly",Input!$J$56,""))),"")</f>
        <v/>
      </c>
      <c r="M137" s="6" t="str">
        <f>IF(B137&lt;&gt;"",IF(AND(Input!$H$57="Annual",MOD(B137,12)=0),Input!$J$57,IF(AND(Input!$H$57="1st Installment",B137=1),Input!$J$57,IF(Input!$H$57="Monthly",Input!$J$57,""))),"")</f>
        <v/>
      </c>
      <c r="N137" s="6" t="str">
        <f>IF(B137&lt;&gt;"",IF(AND(Input!$H$58="Annual",MOD(B137,12)=0),Input!$J$58,IF(AND(Input!$H$58="1st Installment",B137=1),Input!$J$58,IF(Input!$H$58="Monthly",Input!$J$58,IF(AND(Input!$H$58="End of the loan",B137=Input!$E$58),Input!$J$58,"")))),"")</f>
        <v/>
      </c>
      <c r="O137" s="6">
        <f t="shared" si="10"/>
        <v>0</v>
      </c>
      <c r="P137" s="4">
        <f t="shared" si="11"/>
        <v>4163.833508988514</v>
      </c>
      <c r="T137" s="9">
        <f t="shared" si="12"/>
        <v>48207</v>
      </c>
      <c r="U137" s="5">
        <f t="shared" si="15"/>
        <v>4163.83</v>
      </c>
    </row>
    <row r="138" spans="2:21">
      <c r="B138" s="16">
        <f t="shared" si="16"/>
        <v>121</v>
      </c>
      <c r="C138" s="9">
        <f t="shared" si="17"/>
        <v>48238</v>
      </c>
      <c r="D138" s="6">
        <f>IFERROR((PPMT(Input!$E$55/12,B138,$C$6,Input!$E$54,-Input!$E$65,0))," ")</f>
        <v>-1550.8435775999153</v>
      </c>
      <c r="E138" s="6">
        <f>IFERROR(((IPMT(Input!$E$55/12,B138,$C$6,Input!$E$54,-Input!$E$65,0)))," ")</f>
        <v>-2612.9899313885981</v>
      </c>
      <c r="F138" s="6">
        <f t="shared" si="19"/>
        <v>-167258.11265576238</v>
      </c>
      <c r="G138" s="6">
        <f t="shared" si="18"/>
        <v>-336565.74193184765</v>
      </c>
      <c r="H138" s="6">
        <f t="shared" si="13"/>
        <v>-4163.8335089885131</v>
      </c>
      <c r="I138" s="6">
        <f t="shared" si="14"/>
        <v>1332741.8873442376</v>
      </c>
      <c r="J138" s="6" t="str">
        <f>IF(B138&lt;&gt;"",IF(AND(Input!$H$54="Annual",MOD(B138,12)=0),Input!$J$54,IF(AND(Input!$H$54="1st Installment",B138=1),Input!$J$54,IF(Input!$H$54="Monthly",Input!$J$54,""))),"")</f>
        <v/>
      </c>
      <c r="K138" s="6">
        <f>IF(B138&lt;&gt;"",IF(AND(Input!$H$55="Annual",MOD(B138,12)=0),Input!$J$55,IF(AND(Input!$H$55="1st Installment",B138=1),Input!$J$55,IF(Input!$H$55="Monthly",Input!$J$55,""))),"")</f>
        <v>0</v>
      </c>
      <c r="L138" s="6" t="str">
        <f>IF(B138&lt;&gt;"",IF(AND(Input!$H$56="Annual",MOD(B138,12)=0),Input!$J$56,IF(AND(Input!$H$56="1st Installment",B138=1),Input!$J$56,IF(Input!$H$56="Monthly",Input!$J$56,""))),"")</f>
        <v/>
      </c>
      <c r="M138" s="6" t="str">
        <f>IF(B138&lt;&gt;"",IF(AND(Input!$H$57="Annual",MOD(B138,12)=0),Input!$J$57,IF(AND(Input!$H$57="1st Installment",B138=1),Input!$J$57,IF(Input!$H$57="Monthly",Input!$J$57,""))),"")</f>
        <v/>
      </c>
      <c r="N138" s="6" t="str">
        <f>IF(B138&lt;&gt;"",IF(AND(Input!$H$58="Annual",MOD(B138,12)=0),Input!$J$58,IF(AND(Input!$H$58="1st Installment",B138=1),Input!$J$58,IF(Input!$H$58="Monthly",Input!$J$58,IF(AND(Input!$H$58="End of the loan",B138=Input!$E$58),Input!$J$58,"")))),"")</f>
        <v/>
      </c>
      <c r="O138" s="6">
        <f t="shared" si="10"/>
        <v>0</v>
      </c>
      <c r="P138" s="4">
        <f t="shared" si="11"/>
        <v>4163.8335089885131</v>
      </c>
      <c r="T138" s="9">
        <f t="shared" si="12"/>
        <v>48238</v>
      </c>
      <c r="U138" s="5">
        <f t="shared" si="15"/>
        <v>4163.83</v>
      </c>
    </row>
    <row r="139" spans="2:21">
      <c r="B139" s="16">
        <f t="shared" si="16"/>
        <v>122</v>
      </c>
      <c r="C139" s="9">
        <f t="shared" si="17"/>
        <v>48269</v>
      </c>
      <c r="D139" s="6">
        <f>IFERROR((PPMT(Input!$E$55/12,B139,$C$6,Input!$E$54,-Input!$E$65,0))," ")</f>
        <v>-1553.880646272715</v>
      </c>
      <c r="E139" s="6">
        <f>IFERROR(((IPMT(Input!$E$55/12,B139,$C$6,Input!$E$54,-Input!$E$65,0)))," ")</f>
        <v>-2609.9528627157983</v>
      </c>
      <c r="F139" s="6">
        <f t="shared" si="19"/>
        <v>-168811.99330203509</v>
      </c>
      <c r="G139" s="6">
        <f t="shared" si="18"/>
        <v>-339175.69479456346</v>
      </c>
      <c r="H139" s="6">
        <f t="shared" si="13"/>
        <v>-4163.8335089885131</v>
      </c>
      <c r="I139" s="6">
        <f t="shared" si="14"/>
        <v>1331188.0066979649</v>
      </c>
      <c r="J139" s="6" t="str">
        <f>IF(B139&lt;&gt;"",IF(AND(Input!$H$54="Annual",MOD(B139,12)=0),Input!$J$54,IF(AND(Input!$H$54="1st Installment",B139=1),Input!$J$54,IF(Input!$H$54="Monthly",Input!$J$54,""))),"")</f>
        <v/>
      </c>
      <c r="K139" s="6">
        <f>IF(B139&lt;&gt;"",IF(AND(Input!$H$55="Annual",MOD(B139,12)=0),Input!$J$55,IF(AND(Input!$H$55="1st Installment",B139=1),Input!$J$55,IF(Input!$H$55="Monthly",Input!$J$55,""))),"")</f>
        <v>0</v>
      </c>
      <c r="L139" s="6" t="str">
        <f>IF(B139&lt;&gt;"",IF(AND(Input!$H$56="Annual",MOD(B139,12)=0),Input!$J$56,IF(AND(Input!$H$56="1st Installment",B139=1),Input!$J$56,IF(Input!$H$56="Monthly",Input!$J$56,""))),"")</f>
        <v/>
      </c>
      <c r="M139" s="6" t="str">
        <f>IF(B139&lt;&gt;"",IF(AND(Input!$H$57="Annual",MOD(B139,12)=0),Input!$J$57,IF(AND(Input!$H$57="1st Installment",B139=1),Input!$J$57,IF(Input!$H$57="Monthly",Input!$J$57,""))),"")</f>
        <v/>
      </c>
      <c r="N139" s="6" t="str">
        <f>IF(B139&lt;&gt;"",IF(AND(Input!$H$58="Annual",MOD(B139,12)=0),Input!$J$58,IF(AND(Input!$H$58="1st Installment",B139=1),Input!$J$58,IF(Input!$H$58="Monthly",Input!$J$58,IF(AND(Input!$H$58="End of the loan",B139=Input!$E$58),Input!$J$58,"")))),"")</f>
        <v/>
      </c>
      <c r="O139" s="6">
        <f t="shared" si="10"/>
        <v>0</v>
      </c>
      <c r="P139" s="4">
        <f t="shared" si="11"/>
        <v>4163.8335089885131</v>
      </c>
      <c r="T139" s="9">
        <f t="shared" si="12"/>
        <v>48269</v>
      </c>
      <c r="U139" s="5">
        <f t="shared" si="15"/>
        <v>4163.83</v>
      </c>
    </row>
    <row r="140" spans="2:21">
      <c r="B140" s="16">
        <f t="shared" si="16"/>
        <v>123</v>
      </c>
      <c r="C140" s="9">
        <f t="shared" si="17"/>
        <v>48298</v>
      </c>
      <c r="D140" s="6">
        <f>IFERROR((PPMT(Input!$E$55/12,B140,$C$6,Input!$E$54,-Input!$E$65,0))," ")</f>
        <v>-1556.9236625383323</v>
      </c>
      <c r="E140" s="6">
        <f>IFERROR(((IPMT(Input!$E$55/12,B140,$C$6,Input!$E$54,-Input!$E$65,0)))," ")</f>
        <v>-2606.9098464501812</v>
      </c>
      <c r="F140" s="6">
        <f t="shared" si="19"/>
        <v>-170368.91696457341</v>
      </c>
      <c r="G140" s="6">
        <f t="shared" si="18"/>
        <v>-341782.60464101366</v>
      </c>
      <c r="H140" s="6">
        <f t="shared" si="13"/>
        <v>-4163.8335089885131</v>
      </c>
      <c r="I140" s="6">
        <f t="shared" si="14"/>
        <v>1329631.0830354267</v>
      </c>
      <c r="J140" s="6" t="str">
        <f>IF(B140&lt;&gt;"",IF(AND(Input!$H$54="Annual",MOD(B140,12)=0),Input!$J$54,IF(AND(Input!$H$54="1st Installment",B140=1),Input!$J$54,IF(Input!$H$54="Monthly",Input!$J$54,""))),"")</f>
        <v/>
      </c>
      <c r="K140" s="6">
        <f>IF(B140&lt;&gt;"",IF(AND(Input!$H$55="Annual",MOD(B140,12)=0),Input!$J$55,IF(AND(Input!$H$55="1st Installment",B140=1),Input!$J$55,IF(Input!$H$55="Monthly",Input!$J$55,""))),"")</f>
        <v>0</v>
      </c>
      <c r="L140" s="6" t="str">
        <f>IF(B140&lt;&gt;"",IF(AND(Input!$H$56="Annual",MOD(B140,12)=0),Input!$J$56,IF(AND(Input!$H$56="1st Installment",B140=1),Input!$J$56,IF(Input!$H$56="Monthly",Input!$J$56,""))),"")</f>
        <v/>
      </c>
      <c r="M140" s="6" t="str">
        <f>IF(B140&lt;&gt;"",IF(AND(Input!$H$57="Annual",MOD(B140,12)=0),Input!$J$57,IF(AND(Input!$H$57="1st Installment",B140=1),Input!$J$57,IF(Input!$H$57="Monthly",Input!$J$57,""))),"")</f>
        <v/>
      </c>
      <c r="N140" s="6" t="str">
        <f>IF(B140&lt;&gt;"",IF(AND(Input!$H$58="Annual",MOD(B140,12)=0),Input!$J$58,IF(AND(Input!$H$58="1st Installment",B140=1),Input!$J$58,IF(Input!$H$58="Monthly",Input!$J$58,IF(AND(Input!$H$58="End of the loan",B140=Input!$E$58),Input!$J$58,"")))),"")</f>
        <v/>
      </c>
      <c r="O140" s="6">
        <f t="shared" si="10"/>
        <v>0</v>
      </c>
      <c r="P140" s="4">
        <f t="shared" si="11"/>
        <v>4163.8335089885131</v>
      </c>
      <c r="T140" s="9">
        <f t="shared" si="12"/>
        <v>48298</v>
      </c>
      <c r="U140" s="5">
        <f t="shared" si="15"/>
        <v>4163.83</v>
      </c>
    </row>
    <row r="141" spans="2:21">
      <c r="B141" s="16">
        <f t="shared" si="16"/>
        <v>124</v>
      </c>
      <c r="C141" s="9">
        <f t="shared" si="17"/>
        <v>48329</v>
      </c>
      <c r="D141" s="6">
        <f>IFERROR((PPMT(Input!$E$55/12,B141,$C$6,Input!$E$54,-Input!$E$65,0))," ")</f>
        <v>-1559.9726380441366</v>
      </c>
      <c r="E141" s="6">
        <f>IFERROR(((IPMT(Input!$E$55/12,B141,$C$6,Input!$E$54,-Input!$E$65,0)))," ")</f>
        <v>-2603.860870944377</v>
      </c>
      <c r="F141" s="6">
        <f t="shared" si="19"/>
        <v>-171928.88960261754</v>
      </c>
      <c r="G141" s="6">
        <f t="shared" si="18"/>
        <v>-344386.46551195806</v>
      </c>
      <c r="H141" s="6">
        <f t="shared" si="13"/>
        <v>-4163.8335089885131</v>
      </c>
      <c r="I141" s="6">
        <f t="shared" si="14"/>
        <v>1328071.1103973824</v>
      </c>
      <c r="J141" s="6" t="str">
        <f>IF(B141&lt;&gt;"",IF(AND(Input!$H$54="Annual",MOD(B141,12)=0),Input!$J$54,IF(AND(Input!$H$54="1st Installment",B141=1),Input!$J$54,IF(Input!$H$54="Monthly",Input!$J$54,""))),"")</f>
        <v/>
      </c>
      <c r="K141" s="6">
        <f>IF(B141&lt;&gt;"",IF(AND(Input!$H$55="Annual",MOD(B141,12)=0),Input!$J$55,IF(AND(Input!$H$55="1st Installment",B141=1),Input!$J$55,IF(Input!$H$55="Monthly",Input!$J$55,""))),"")</f>
        <v>0</v>
      </c>
      <c r="L141" s="6" t="str">
        <f>IF(B141&lt;&gt;"",IF(AND(Input!$H$56="Annual",MOD(B141,12)=0),Input!$J$56,IF(AND(Input!$H$56="1st Installment",B141=1),Input!$J$56,IF(Input!$H$56="Monthly",Input!$J$56,""))),"")</f>
        <v/>
      </c>
      <c r="M141" s="6" t="str">
        <f>IF(B141&lt;&gt;"",IF(AND(Input!$H$57="Annual",MOD(B141,12)=0),Input!$J$57,IF(AND(Input!$H$57="1st Installment",B141=1),Input!$J$57,IF(Input!$H$57="Monthly",Input!$J$57,""))),"")</f>
        <v/>
      </c>
      <c r="N141" s="6" t="str">
        <f>IF(B141&lt;&gt;"",IF(AND(Input!$H$58="Annual",MOD(B141,12)=0),Input!$J$58,IF(AND(Input!$H$58="1st Installment",B141=1),Input!$J$58,IF(Input!$H$58="Monthly",Input!$J$58,IF(AND(Input!$H$58="End of the loan",B141=Input!$E$58),Input!$J$58,"")))),"")</f>
        <v/>
      </c>
      <c r="O141" s="6">
        <f t="shared" si="10"/>
        <v>0</v>
      </c>
      <c r="P141" s="4">
        <f t="shared" si="11"/>
        <v>4163.8335089885131</v>
      </c>
      <c r="T141" s="9">
        <f t="shared" si="12"/>
        <v>48329</v>
      </c>
      <c r="U141" s="5">
        <f t="shared" si="15"/>
        <v>4163.83</v>
      </c>
    </row>
    <row r="142" spans="2:21">
      <c r="B142" s="16">
        <f t="shared" si="16"/>
        <v>125</v>
      </c>
      <c r="C142" s="9">
        <f t="shared" si="17"/>
        <v>48359</v>
      </c>
      <c r="D142" s="6">
        <f>IFERROR((PPMT(Input!$E$55/12,B142,$C$6,Input!$E$54,-Input!$E$65,0))," ")</f>
        <v>-1563.0275844603063</v>
      </c>
      <c r="E142" s="6">
        <f>IFERROR(((IPMT(Input!$E$55/12,B142,$C$6,Input!$E$54,-Input!$E$65,0)))," ")</f>
        <v>-2600.8059245282075</v>
      </c>
      <c r="F142" s="6">
        <f t="shared" si="19"/>
        <v>-173491.91718707784</v>
      </c>
      <c r="G142" s="6">
        <f t="shared" si="18"/>
        <v>-346987.27143648628</v>
      </c>
      <c r="H142" s="6">
        <f t="shared" si="13"/>
        <v>-4163.833508988514</v>
      </c>
      <c r="I142" s="6">
        <f t="shared" si="14"/>
        <v>1326508.0828129221</v>
      </c>
      <c r="J142" s="6" t="str">
        <f>IF(B142&lt;&gt;"",IF(AND(Input!$H$54="Annual",MOD(B142,12)=0),Input!$J$54,IF(AND(Input!$H$54="1st Installment",B142=1),Input!$J$54,IF(Input!$H$54="Monthly",Input!$J$54,""))),"")</f>
        <v/>
      </c>
      <c r="K142" s="6">
        <f>IF(B142&lt;&gt;"",IF(AND(Input!$H$55="Annual",MOD(B142,12)=0),Input!$J$55,IF(AND(Input!$H$55="1st Installment",B142=1),Input!$J$55,IF(Input!$H$55="Monthly",Input!$J$55,""))),"")</f>
        <v>0</v>
      </c>
      <c r="L142" s="6" t="str">
        <f>IF(B142&lt;&gt;"",IF(AND(Input!$H$56="Annual",MOD(B142,12)=0),Input!$J$56,IF(AND(Input!$H$56="1st Installment",B142=1),Input!$J$56,IF(Input!$H$56="Monthly",Input!$J$56,""))),"")</f>
        <v/>
      </c>
      <c r="M142" s="6" t="str">
        <f>IF(B142&lt;&gt;"",IF(AND(Input!$H$57="Annual",MOD(B142,12)=0),Input!$J$57,IF(AND(Input!$H$57="1st Installment",B142=1),Input!$J$57,IF(Input!$H$57="Monthly",Input!$J$57,""))),"")</f>
        <v/>
      </c>
      <c r="N142" s="6" t="str">
        <f>IF(B142&lt;&gt;"",IF(AND(Input!$H$58="Annual",MOD(B142,12)=0),Input!$J$58,IF(AND(Input!$H$58="1st Installment",B142=1),Input!$J$58,IF(Input!$H$58="Monthly",Input!$J$58,IF(AND(Input!$H$58="End of the loan",B142=Input!$E$58),Input!$J$58,"")))),"")</f>
        <v/>
      </c>
      <c r="O142" s="6">
        <f t="shared" si="10"/>
        <v>0</v>
      </c>
      <c r="P142" s="4">
        <f t="shared" si="11"/>
        <v>4163.833508988514</v>
      </c>
      <c r="T142" s="9">
        <f t="shared" si="12"/>
        <v>48359</v>
      </c>
      <c r="U142" s="5">
        <f t="shared" si="15"/>
        <v>4163.83</v>
      </c>
    </row>
    <row r="143" spans="2:21">
      <c r="B143" s="16">
        <f t="shared" si="16"/>
        <v>126</v>
      </c>
      <c r="C143" s="9">
        <f t="shared" si="17"/>
        <v>48390</v>
      </c>
      <c r="D143" s="6">
        <f>IFERROR((PPMT(Input!$E$55/12,B143,$C$6,Input!$E$54,-Input!$E$65,0))," ")</f>
        <v>-1566.0885134798746</v>
      </c>
      <c r="E143" s="6">
        <f>IFERROR(((IPMT(Input!$E$55/12,B143,$C$6,Input!$E$54,-Input!$E$65,0)))," ")</f>
        <v>-2597.7449955086395</v>
      </c>
      <c r="F143" s="6">
        <f t="shared" si="19"/>
        <v>-175058.00570055773</v>
      </c>
      <c r="G143" s="6">
        <f t="shared" si="18"/>
        <v>-349585.01643199491</v>
      </c>
      <c r="H143" s="6">
        <f t="shared" si="13"/>
        <v>-4163.833508988514</v>
      </c>
      <c r="I143" s="6">
        <f t="shared" si="14"/>
        <v>1324941.9942994423</v>
      </c>
      <c r="J143" s="6" t="str">
        <f>IF(B143&lt;&gt;"",IF(AND(Input!$H$54="Annual",MOD(B143,12)=0),Input!$J$54,IF(AND(Input!$H$54="1st Installment",B143=1),Input!$J$54,IF(Input!$H$54="Monthly",Input!$J$54,""))),"")</f>
        <v/>
      </c>
      <c r="K143" s="6">
        <f>IF(B143&lt;&gt;"",IF(AND(Input!$H$55="Annual",MOD(B143,12)=0),Input!$J$55,IF(AND(Input!$H$55="1st Installment",B143=1),Input!$J$55,IF(Input!$H$55="Monthly",Input!$J$55,""))),"")</f>
        <v>0</v>
      </c>
      <c r="L143" s="6" t="str">
        <f>IF(B143&lt;&gt;"",IF(AND(Input!$H$56="Annual",MOD(B143,12)=0),Input!$J$56,IF(AND(Input!$H$56="1st Installment",B143=1),Input!$J$56,IF(Input!$H$56="Monthly",Input!$J$56,""))),"")</f>
        <v/>
      </c>
      <c r="M143" s="6" t="str">
        <f>IF(B143&lt;&gt;"",IF(AND(Input!$H$57="Annual",MOD(B143,12)=0),Input!$J$57,IF(AND(Input!$H$57="1st Installment",B143=1),Input!$J$57,IF(Input!$H$57="Monthly",Input!$J$57,""))),"")</f>
        <v/>
      </c>
      <c r="N143" s="6" t="str">
        <f>IF(B143&lt;&gt;"",IF(AND(Input!$H$58="Annual",MOD(B143,12)=0),Input!$J$58,IF(AND(Input!$H$58="1st Installment",B143=1),Input!$J$58,IF(Input!$H$58="Monthly",Input!$J$58,IF(AND(Input!$H$58="End of the loan",B143=Input!$E$58),Input!$J$58,"")))),"")</f>
        <v/>
      </c>
      <c r="O143" s="6">
        <f t="shared" si="10"/>
        <v>0</v>
      </c>
      <c r="P143" s="4">
        <f t="shared" si="11"/>
        <v>4163.833508988514</v>
      </c>
      <c r="T143" s="9">
        <f t="shared" si="12"/>
        <v>48390</v>
      </c>
      <c r="U143" s="5">
        <f t="shared" si="15"/>
        <v>4163.83</v>
      </c>
    </row>
    <row r="144" spans="2:21">
      <c r="B144" s="16">
        <f t="shared" si="16"/>
        <v>127</v>
      </c>
      <c r="C144" s="9">
        <f t="shared" si="17"/>
        <v>48420</v>
      </c>
      <c r="D144" s="6">
        <f>IFERROR((PPMT(Input!$E$55/12,B144,$C$6,Input!$E$54,-Input!$E$65,0))," ")</f>
        <v>-1569.1554368187728</v>
      </c>
      <c r="E144" s="6">
        <f>IFERROR(((IPMT(Input!$E$55/12,B144,$C$6,Input!$E$54,-Input!$E$65,0)))," ")</f>
        <v>-2594.678072169741</v>
      </c>
      <c r="F144" s="6">
        <f t="shared" si="19"/>
        <v>-176627.1611373765</v>
      </c>
      <c r="G144" s="6">
        <f t="shared" si="18"/>
        <v>-352179.69450416462</v>
      </c>
      <c r="H144" s="6">
        <f t="shared" si="13"/>
        <v>-4163.833508988514</v>
      </c>
      <c r="I144" s="6">
        <f t="shared" si="14"/>
        <v>1323372.8388626236</v>
      </c>
      <c r="J144" s="6" t="str">
        <f>IF(B144&lt;&gt;"",IF(AND(Input!$H$54="Annual",MOD(B144,12)=0),Input!$J$54,IF(AND(Input!$H$54="1st Installment",B144=1),Input!$J$54,IF(Input!$H$54="Monthly",Input!$J$54,""))),"")</f>
        <v/>
      </c>
      <c r="K144" s="6">
        <f>IF(B144&lt;&gt;"",IF(AND(Input!$H$55="Annual",MOD(B144,12)=0),Input!$J$55,IF(AND(Input!$H$55="1st Installment",B144=1),Input!$J$55,IF(Input!$H$55="Monthly",Input!$J$55,""))),"")</f>
        <v>0</v>
      </c>
      <c r="L144" s="6" t="str">
        <f>IF(B144&lt;&gt;"",IF(AND(Input!$H$56="Annual",MOD(B144,12)=0),Input!$J$56,IF(AND(Input!$H$56="1st Installment",B144=1),Input!$J$56,IF(Input!$H$56="Monthly",Input!$J$56,""))),"")</f>
        <v/>
      </c>
      <c r="M144" s="6" t="str">
        <f>IF(B144&lt;&gt;"",IF(AND(Input!$H$57="Annual",MOD(B144,12)=0),Input!$J$57,IF(AND(Input!$H$57="1st Installment",B144=1),Input!$J$57,IF(Input!$H$57="Monthly",Input!$J$57,""))),"")</f>
        <v/>
      </c>
      <c r="N144" s="6" t="str">
        <f>IF(B144&lt;&gt;"",IF(AND(Input!$H$58="Annual",MOD(B144,12)=0),Input!$J$58,IF(AND(Input!$H$58="1st Installment",B144=1),Input!$J$58,IF(Input!$H$58="Monthly",Input!$J$58,IF(AND(Input!$H$58="End of the loan",B144=Input!$E$58),Input!$J$58,"")))),"")</f>
        <v/>
      </c>
      <c r="O144" s="6">
        <f t="shared" si="10"/>
        <v>0</v>
      </c>
      <c r="P144" s="4">
        <f t="shared" si="11"/>
        <v>4163.833508988514</v>
      </c>
      <c r="T144" s="9">
        <f t="shared" si="12"/>
        <v>48420</v>
      </c>
      <c r="U144" s="5">
        <f t="shared" si="15"/>
        <v>4163.83</v>
      </c>
    </row>
    <row r="145" spans="2:21">
      <c r="B145" s="16">
        <f t="shared" si="16"/>
        <v>128</v>
      </c>
      <c r="C145" s="9">
        <f t="shared" si="17"/>
        <v>48451</v>
      </c>
      <c r="D145" s="6">
        <f>IFERROR((PPMT(Input!$E$55/12,B145,$C$6,Input!$E$54,-Input!$E$65,0))," ")</f>
        <v>-1572.2283662158759</v>
      </c>
      <c r="E145" s="6">
        <f>IFERROR(((IPMT(Input!$E$55/12,B145,$C$6,Input!$E$54,-Input!$E$65,0)))," ")</f>
        <v>-2591.6051427726375</v>
      </c>
      <c r="F145" s="6">
        <f t="shared" si="19"/>
        <v>-178199.38950359239</v>
      </c>
      <c r="G145" s="6">
        <f t="shared" si="18"/>
        <v>-354771.29964693729</v>
      </c>
      <c r="H145" s="6">
        <f t="shared" si="13"/>
        <v>-4163.8335089885131</v>
      </c>
      <c r="I145" s="6">
        <f t="shared" si="14"/>
        <v>1321800.6104964076</v>
      </c>
      <c r="J145" s="6" t="str">
        <f>IF(B145&lt;&gt;"",IF(AND(Input!$H$54="Annual",MOD(B145,12)=0),Input!$J$54,IF(AND(Input!$H$54="1st Installment",B145=1),Input!$J$54,IF(Input!$H$54="Monthly",Input!$J$54,""))),"")</f>
        <v/>
      </c>
      <c r="K145" s="6">
        <f>IF(B145&lt;&gt;"",IF(AND(Input!$H$55="Annual",MOD(B145,12)=0),Input!$J$55,IF(AND(Input!$H$55="1st Installment",B145=1),Input!$J$55,IF(Input!$H$55="Monthly",Input!$J$55,""))),"")</f>
        <v>0</v>
      </c>
      <c r="L145" s="6" t="str">
        <f>IF(B145&lt;&gt;"",IF(AND(Input!$H$56="Annual",MOD(B145,12)=0),Input!$J$56,IF(AND(Input!$H$56="1st Installment",B145=1),Input!$J$56,IF(Input!$H$56="Monthly",Input!$J$56,""))),"")</f>
        <v/>
      </c>
      <c r="M145" s="6" t="str">
        <f>IF(B145&lt;&gt;"",IF(AND(Input!$H$57="Annual",MOD(B145,12)=0),Input!$J$57,IF(AND(Input!$H$57="1st Installment",B145=1),Input!$J$57,IF(Input!$H$57="Monthly",Input!$J$57,""))),"")</f>
        <v/>
      </c>
      <c r="N145" s="6" t="str">
        <f>IF(B145&lt;&gt;"",IF(AND(Input!$H$58="Annual",MOD(B145,12)=0),Input!$J$58,IF(AND(Input!$H$58="1st Installment",B145=1),Input!$J$58,IF(Input!$H$58="Monthly",Input!$J$58,IF(AND(Input!$H$58="End of the loan",B145=Input!$E$58),Input!$J$58,"")))),"")</f>
        <v/>
      </c>
      <c r="O145" s="6">
        <f t="shared" ref="O145:O208" si="20">IF(B145&lt;&gt;"",SUM(J145:N145),"")</f>
        <v>0</v>
      </c>
      <c r="P145" s="4">
        <f t="shared" ref="P145:P208" si="21">IF(B145&lt;&gt;"",(-H145+O145),"")</f>
        <v>4163.8335089885131</v>
      </c>
      <c r="T145" s="9">
        <f t="shared" si="12"/>
        <v>48451</v>
      </c>
      <c r="U145" s="5">
        <f t="shared" si="15"/>
        <v>4163.83</v>
      </c>
    </row>
    <row r="146" spans="2:21">
      <c r="B146" s="16">
        <f t="shared" si="16"/>
        <v>129</v>
      </c>
      <c r="C146" s="9">
        <f t="shared" si="17"/>
        <v>48482</v>
      </c>
      <c r="D146" s="6">
        <f>IFERROR((PPMT(Input!$E$55/12,B146,$C$6,Input!$E$54,-Input!$E$65,0))," ")</f>
        <v>-1575.3073134330486</v>
      </c>
      <c r="E146" s="6">
        <f>IFERROR(((IPMT(Input!$E$55/12,B146,$C$6,Input!$E$54,-Input!$E$65,0)))," ")</f>
        <v>-2588.5261955554647</v>
      </c>
      <c r="F146" s="6">
        <f t="shared" si="19"/>
        <v>-179774.69681702545</v>
      </c>
      <c r="G146" s="6">
        <f t="shared" si="18"/>
        <v>-357359.82584249275</v>
      </c>
      <c r="H146" s="6">
        <f t="shared" si="13"/>
        <v>-4163.8335089885131</v>
      </c>
      <c r="I146" s="6">
        <f t="shared" si="14"/>
        <v>1320225.3031829745</v>
      </c>
      <c r="J146" s="6" t="str">
        <f>IF(B146&lt;&gt;"",IF(AND(Input!$H$54="Annual",MOD(B146,12)=0),Input!$J$54,IF(AND(Input!$H$54="1st Installment",B146=1),Input!$J$54,IF(Input!$H$54="Monthly",Input!$J$54,""))),"")</f>
        <v/>
      </c>
      <c r="K146" s="6">
        <f>IF(B146&lt;&gt;"",IF(AND(Input!$H$55="Annual",MOD(B146,12)=0),Input!$J$55,IF(AND(Input!$H$55="1st Installment",B146=1),Input!$J$55,IF(Input!$H$55="Monthly",Input!$J$55,""))),"")</f>
        <v>0</v>
      </c>
      <c r="L146" s="6" t="str">
        <f>IF(B146&lt;&gt;"",IF(AND(Input!$H$56="Annual",MOD(B146,12)=0),Input!$J$56,IF(AND(Input!$H$56="1st Installment",B146=1),Input!$J$56,IF(Input!$H$56="Monthly",Input!$J$56,""))),"")</f>
        <v/>
      </c>
      <c r="M146" s="6" t="str">
        <f>IF(B146&lt;&gt;"",IF(AND(Input!$H$57="Annual",MOD(B146,12)=0),Input!$J$57,IF(AND(Input!$H$57="1st Installment",B146=1),Input!$J$57,IF(Input!$H$57="Monthly",Input!$J$57,""))),"")</f>
        <v/>
      </c>
      <c r="N146" s="6" t="str">
        <f>IF(B146&lt;&gt;"",IF(AND(Input!$H$58="Annual",MOD(B146,12)=0),Input!$J$58,IF(AND(Input!$H$58="1st Installment",B146=1),Input!$J$58,IF(Input!$H$58="Monthly",Input!$J$58,IF(AND(Input!$H$58="End of the loan",B146=Input!$E$58),Input!$J$58,"")))),"")</f>
        <v/>
      </c>
      <c r="O146" s="6">
        <f t="shared" si="20"/>
        <v>0</v>
      </c>
      <c r="P146" s="4">
        <f t="shared" si="21"/>
        <v>4163.8335089885131</v>
      </c>
      <c r="T146" s="9">
        <f t="shared" ref="T146:T209" si="22">C146</f>
        <v>48482</v>
      </c>
      <c r="U146" s="5">
        <f t="shared" si="15"/>
        <v>4163.83</v>
      </c>
    </row>
    <row r="147" spans="2:21">
      <c r="B147" s="16">
        <f t="shared" si="16"/>
        <v>130</v>
      </c>
      <c r="C147" s="9">
        <f t="shared" si="17"/>
        <v>48512</v>
      </c>
      <c r="D147" s="6">
        <f>IFERROR((PPMT(Input!$E$55/12,B147,$C$6,Input!$E$54,-Input!$E$65,0))," ")</f>
        <v>-1578.3922902551885</v>
      </c>
      <c r="E147" s="6">
        <f>IFERROR(((IPMT(Input!$E$55/12,B147,$C$6,Input!$E$54,-Input!$E$65,0)))," ")</f>
        <v>-2585.4412187333251</v>
      </c>
      <c r="F147" s="6">
        <f t="shared" si="19"/>
        <v>-181353.08910728066</v>
      </c>
      <c r="G147" s="6">
        <f t="shared" si="18"/>
        <v>-359945.26706122607</v>
      </c>
      <c r="H147" s="6">
        <f t="shared" ref="H147:H210" si="23">+IF(B147=$C$6+1,-$C$13,IFERROR(D147+E147,""))</f>
        <v>-4163.8335089885131</v>
      </c>
      <c r="I147" s="6">
        <f t="shared" ref="I147:I210" si="24">+IFERROR($C$8+F147,"")</f>
        <v>1318646.9108927194</v>
      </c>
      <c r="J147" s="6" t="str">
        <f>IF(B147&lt;&gt;"",IF(AND(Input!$H$54="Annual",MOD(B147,12)=0),Input!$J$54,IF(AND(Input!$H$54="1st Installment",B147=1),Input!$J$54,IF(Input!$H$54="Monthly",Input!$J$54,""))),"")</f>
        <v/>
      </c>
      <c r="K147" s="6">
        <f>IF(B147&lt;&gt;"",IF(AND(Input!$H$55="Annual",MOD(B147,12)=0),Input!$J$55,IF(AND(Input!$H$55="1st Installment",B147=1),Input!$J$55,IF(Input!$H$55="Monthly",Input!$J$55,""))),"")</f>
        <v>0</v>
      </c>
      <c r="L147" s="6" t="str">
        <f>IF(B147&lt;&gt;"",IF(AND(Input!$H$56="Annual",MOD(B147,12)=0),Input!$J$56,IF(AND(Input!$H$56="1st Installment",B147=1),Input!$J$56,IF(Input!$H$56="Monthly",Input!$J$56,""))),"")</f>
        <v/>
      </c>
      <c r="M147" s="6" t="str">
        <f>IF(B147&lt;&gt;"",IF(AND(Input!$H$57="Annual",MOD(B147,12)=0),Input!$J$57,IF(AND(Input!$H$57="1st Installment",B147=1),Input!$J$57,IF(Input!$H$57="Monthly",Input!$J$57,""))),"")</f>
        <v/>
      </c>
      <c r="N147" s="6" t="str">
        <f>IF(B147&lt;&gt;"",IF(AND(Input!$H$58="Annual",MOD(B147,12)=0),Input!$J$58,IF(AND(Input!$H$58="1st Installment",B147=1),Input!$J$58,IF(Input!$H$58="Monthly",Input!$J$58,IF(AND(Input!$H$58="End of the loan",B147=Input!$E$58),Input!$J$58,"")))),"")</f>
        <v/>
      </c>
      <c r="O147" s="6">
        <f t="shared" si="20"/>
        <v>0</v>
      </c>
      <c r="P147" s="4">
        <f t="shared" si="21"/>
        <v>4163.8335089885131</v>
      </c>
      <c r="T147" s="9">
        <f t="shared" si="22"/>
        <v>48512</v>
      </c>
      <c r="U147" s="5">
        <f t="shared" ref="U147:U210" si="25">IFERROR(ROUND(_xlfn.IFNA(VLOOKUP(T147,$C$18:$P$385,14,0),0),2)," ")</f>
        <v>4163.83</v>
      </c>
    </row>
    <row r="148" spans="2:21">
      <c r="B148" s="16">
        <f t="shared" ref="B148:B211" si="26">IF(B147="","",IF((B147+1)&lt;=$C$6+1,B147+1,""))</f>
        <v>131</v>
      </c>
      <c r="C148" s="9">
        <f t="shared" ref="C148:C211" si="27">IF(B148="","",EDATE(C147,1))</f>
        <v>48543</v>
      </c>
      <c r="D148" s="6">
        <f>IFERROR((PPMT(Input!$E$55/12,B148,$C$6,Input!$E$54,-Input!$E$65,0))," ")</f>
        <v>-1581.4833084902714</v>
      </c>
      <c r="E148" s="6">
        <f>IFERROR(((IPMT(Input!$E$55/12,B148,$C$6,Input!$E$54,-Input!$E$65,0)))," ")</f>
        <v>-2582.350200498242</v>
      </c>
      <c r="F148" s="6">
        <f t="shared" si="19"/>
        <v>-182934.57241577093</v>
      </c>
      <c r="G148" s="6">
        <f t="shared" ref="G148:G211" si="28">IF(B148&lt;=$C$6,G147+E148,"")</f>
        <v>-362527.61726172431</v>
      </c>
      <c r="H148" s="6">
        <f t="shared" si="23"/>
        <v>-4163.8335089885131</v>
      </c>
      <c r="I148" s="6">
        <f t="shared" si="24"/>
        <v>1317065.427584229</v>
      </c>
      <c r="J148" s="6" t="str">
        <f>IF(B148&lt;&gt;"",IF(AND(Input!$H$54="Annual",MOD(B148,12)=0),Input!$J$54,IF(AND(Input!$H$54="1st Installment",B148=1),Input!$J$54,IF(Input!$H$54="Monthly",Input!$J$54,""))),"")</f>
        <v/>
      </c>
      <c r="K148" s="6">
        <f>IF(B148&lt;&gt;"",IF(AND(Input!$H$55="Annual",MOD(B148,12)=0),Input!$J$55,IF(AND(Input!$H$55="1st Installment",B148=1),Input!$J$55,IF(Input!$H$55="Monthly",Input!$J$55,""))),"")</f>
        <v>0</v>
      </c>
      <c r="L148" s="6" t="str">
        <f>IF(B148&lt;&gt;"",IF(AND(Input!$H$56="Annual",MOD(B148,12)=0),Input!$J$56,IF(AND(Input!$H$56="1st Installment",B148=1),Input!$J$56,IF(Input!$H$56="Monthly",Input!$J$56,""))),"")</f>
        <v/>
      </c>
      <c r="M148" s="6" t="str">
        <f>IF(B148&lt;&gt;"",IF(AND(Input!$H$57="Annual",MOD(B148,12)=0),Input!$J$57,IF(AND(Input!$H$57="1st Installment",B148=1),Input!$J$57,IF(Input!$H$57="Monthly",Input!$J$57,""))),"")</f>
        <v/>
      </c>
      <c r="N148" s="6" t="str">
        <f>IF(B148&lt;&gt;"",IF(AND(Input!$H$58="Annual",MOD(B148,12)=0),Input!$J$58,IF(AND(Input!$H$58="1st Installment",B148=1),Input!$J$58,IF(Input!$H$58="Monthly",Input!$J$58,IF(AND(Input!$H$58="End of the loan",B148=Input!$E$58),Input!$J$58,"")))),"")</f>
        <v/>
      </c>
      <c r="O148" s="6">
        <f t="shared" si="20"/>
        <v>0</v>
      </c>
      <c r="P148" s="4">
        <f t="shared" si="21"/>
        <v>4163.8335089885131</v>
      </c>
      <c r="T148" s="9">
        <f t="shared" si="22"/>
        <v>48543</v>
      </c>
      <c r="U148" s="5">
        <f t="shared" si="25"/>
        <v>4163.83</v>
      </c>
    </row>
    <row r="149" spans="2:21">
      <c r="B149" s="16">
        <f t="shared" si="26"/>
        <v>132</v>
      </c>
      <c r="C149" s="9">
        <f t="shared" si="27"/>
        <v>48573</v>
      </c>
      <c r="D149" s="6">
        <f>IFERROR((PPMT(Input!$E$55/12,B149,$C$6,Input!$E$54,-Input!$E$65,0))," ")</f>
        <v>-1584.5803799693983</v>
      </c>
      <c r="E149" s="6">
        <f>IFERROR(((IPMT(Input!$E$55/12,B149,$C$6,Input!$E$54,-Input!$E$65,0)))," ")</f>
        <v>-2579.2531290191155</v>
      </c>
      <c r="F149" s="6">
        <f t="shared" ref="F149:F212" si="29">IF(B149&lt;=$C$6,F148+D149,"")</f>
        <v>-184519.15279574035</v>
      </c>
      <c r="G149" s="6">
        <f t="shared" si="28"/>
        <v>-365106.87039074342</v>
      </c>
      <c r="H149" s="6">
        <f t="shared" si="23"/>
        <v>-4163.833508988514</v>
      </c>
      <c r="I149" s="6">
        <f t="shared" si="24"/>
        <v>1315480.8472042596</v>
      </c>
      <c r="J149" s="6" t="str">
        <f>IF(B149&lt;&gt;"",IF(AND(Input!$H$54="Annual",MOD(B149,12)=0),Input!$J$54,IF(AND(Input!$H$54="1st Installment",B149=1),Input!$J$54,IF(Input!$H$54="Monthly",Input!$J$54,""))),"")</f>
        <v/>
      </c>
      <c r="K149" s="6">
        <f>IF(B149&lt;&gt;"",IF(AND(Input!$H$55="Annual",MOD(B149,12)=0),Input!$J$55,IF(AND(Input!$H$55="1st Installment",B149=1),Input!$J$55,IF(Input!$H$55="Monthly",Input!$J$55,""))),"")</f>
        <v>0</v>
      </c>
      <c r="L149" s="6" t="str">
        <f>IF(B149&lt;&gt;"",IF(AND(Input!$H$56="Annual",MOD(B149,12)=0),Input!$J$56,IF(AND(Input!$H$56="1st Installment",B149=1),Input!$J$56,IF(Input!$H$56="Monthly",Input!$J$56,""))),"")</f>
        <v/>
      </c>
      <c r="M149" s="6" t="str">
        <f>IF(B149&lt;&gt;"",IF(AND(Input!$H$57="Annual",MOD(B149,12)=0),Input!$J$57,IF(AND(Input!$H$57="1st Installment",B149=1),Input!$J$57,IF(Input!$H$57="Monthly",Input!$J$57,""))),"")</f>
        <v/>
      </c>
      <c r="N149" s="6" t="str">
        <f>IF(B149&lt;&gt;"",IF(AND(Input!$H$58="Annual",MOD(B149,12)=0),Input!$J$58,IF(AND(Input!$H$58="1st Installment",B149=1),Input!$J$58,IF(Input!$H$58="Monthly",Input!$J$58,IF(AND(Input!$H$58="End of the loan",B149=Input!$E$58),Input!$J$58,"")))),"")</f>
        <v/>
      </c>
      <c r="O149" s="6">
        <f t="shared" si="20"/>
        <v>0</v>
      </c>
      <c r="P149" s="4">
        <f t="shared" si="21"/>
        <v>4163.833508988514</v>
      </c>
      <c r="T149" s="9">
        <f t="shared" si="22"/>
        <v>48573</v>
      </c>
      <c r="U149" s="5">
        <f t="shared" si="25"/>
        <v>4163.83</v>
      </c>
    </row>
    <row r="150" spans="2:21">
      <c r="B150" s="16">
        <f t="shared" si="26"/>
        <v>133</v>
      </c>
      <c r="C150" s="9">
        <f t="shared" si="27"/>
        <v>48604</v>
      </c>
      <c r="D150" s="6">
        <f>IFERROR((PPMT(Input!$E$55/12,B150,$C$6,Input!$E$54,-Input!$E$65,0))," ")</f>
        <v>-1587.6835165468383</v>
      </c>
      <c r="E150" s="6">
        <f>IFERROR(((IPMT(Input!$E$55/12,B150,$C$6,Input!$E$54,-Input!$E$65,0)))," ")</f>
        <v>-2576.1499924416753</v>
      </c>
      <c r="F150" s="6">
        <f t="shared" si="29"/>
        <v>-186106.8363122872</v>
      </c>
      <c r="G150" s="6">
        <f t="shared" si="28"/>
        <v>-367683.02038318512</v>
      </c>
      <c r="H150" s="6">
        <f t="shared" si="23"/>
        <v>-4163.8335089885131</v>
      </c>
      <c r="I150" s="6">
        <f t="shared" si="24"/>
        <v>1313893.1636877127</v>
      </c>
      <c r="J150" s="6" t="str">
        <f>IF(B150&lt;&gt;"",IF(AND(Input!$H$54="Annual",MOD(B150,12)=0),Input!$J$54,IF(AND(Input!$H$54="1st Installment",B150=1),Input!$J$54,IF(Input!$H$54="Monthly",Input!$J$54,""))),"")</f>
        <v/>
      </c>
      <c r="K150" s="6">
        <f>IF(B150&lt;&gt;"",IF(AND(Input!$H$55="Annual",MOD(B150,12)=0),Input!$J$55,IF(AND(Input!$H$55="1st Installment",B150=1),Input!$J$55,IF(Input!$H$55="Monthly",Input!$J$55,""))),"")</f>
        <v>0</v>
      </c>
      <c r="L150" s="6" t="str">
        <f>IF(B150&lt;&gt;"",IF(AND(Input!$H$56="Annual",MOD(B150,12)=0),Input!$J$56,IF(AND(Input!$H$56="1st Installment",B150=1),Input!$J$56,IF(Input!$H$56="Monthly",Input!$J$56,""))),"")</f>
        <v/>
      </c>
      <c r="M150" s="6" t="str">
        <f>IF(B150&lt;&gt;"",IF(AND(Input!$H$57="Annual",MOD(B150,12)=0),Input!$J$57,IF(AND(Input!$H$57="1st Installment",B150=1),Input!$J$57,IF(Input!$H$57="Monthly",Input!$J$57,""))),"")</f>
        <v/>
      </c>
      <c r="N150" s="6" t="str">
        <f>IF(B150&lt;&gt;"",IF(AND(Input!$H$58="Annual",MOD(B150,12)=0),Input!$J$58,IF(AND(Input!$H$58="1st Installment",B150=1),Input!$J$58,IF(Input!$H$58="Monthly",Input!$J$58,IF(AND(Input!$H$58="End of the loan",B150=Input!$E$58),Input!$J$58,"")))),"")</f>
        <v/>
      </c>
      <c r="O150" s="6">
        <f t="shared" si="20"/>
        <v>0</v>
      </c>
      <c r="P150" s="4">
        <f t="shared" si="21"/>
        <v>4163.8335089885131</v>
      </c>
      <c r="T150" s="9">
        <f t="shared" si="22"/>
        <v>48604</v>
      </c>
      <c r="U150" s="5">
        <f t="shared" si="25"/>
        <v>4163.83</v>
      </c>
    </row>
    <row r="151" spans="2:21">
      <c r="B151" s="16">
        <f t="shared" si="26"/>
        <v>134</v>
      </c>
      <c r="C151" s="9">
        <f t="shared" si="27"/>
        <v>48635</v>
      </c>
      <c r="D151" s="6">
        <f>IFERROR((PPMT(Input!$E$55/12,B151,$C$6,Input!$E$54,-Input!$E$65,0))," ")</f>
        <v>-1590.7927301000759</v>
      </c>
      <c r="E151" s="6">
        <f>IFERROR(((IPMT(Input!$E$55/12,B151,$C$6,Input!$E$54,-Input!$E$65,0)))," ")</f>
        <v>-2573.0407788884377</v>
      </c>
      <c r="F151" s="6">
        <f t="shared" si="29"/>
        <v>-187697.62904238727</v>
      </c>
      <c r="G151" s="6">
        <f t="shared" si="28"/>
        <v>-370256.06116207357</v>
      </c>
      <c r="H151" s="6">
        <f t="shared" si="23"/>
        <v>-4163.8335089885131</v>
      </c>
      <c r="I151" s="6">
        <f t="shared" si="24"/>
        <v>1312302.3709576128</v>
      </c>
      <c r="J151" s="6" t="str">
        <f>IF(B151&lt;&gt;"",IF(AND(Input!$H$54="Annual",MOD(B151,12)=0),Input!$J$54,IF(AND(Input!$H$54="1st Installment",B151=1),Input!$J$54,IF(Input!$H$54="Monthly",Input!$J$54,""))),"")</f>
        <v/>
      </c>
      <c r="K151" s="6">
        <f>IF(B151&lt;&gt;"",IF(AND(Input!$H$55="Annual",MOD(B151,12)=0),Input!$J$55,IF(AND(Input!$H$55="1st Installment",B151=1),Input!$J$55,IF(Input!$H$55="Monthly",Input!$J$55,""))),"")</f>
        <v>0</v>
      </c>
      <c r="L151" s="6" t="str">
        <f>IF(B151&lt;&gt;"",IF(AND(Input!$H$56="Annual",MOD(B151,12)=0),Input!$J$56,IF(AND(Input!$H$56="1st Installment",B151=1),Input!$J$56,IF(Input!$H$56="Monthly",Input!$J$56,""))),"")</f>
        <v/>
      </c>
      <c r="M151" s="6" t="str">
        <f>IF(B151&lt;&gt;"",IF(AND(Input!$H$57="Annual",MOD(B151,12)=0),Input!$J$57,IF(AND(Input!$H$57="1st Installment",B151=1),Input!$J$57,IF(Input!$H$57="Monthly",Input!$J$57,""))),"")</f>
        <v/>
      </c>
      <c r="N151" s="6" t="str">
        <f>IF(B151&lt;&gt;"",IF(AND(Input!$H$58="Annual",MOD(B151,12)=0),Input!$J$58,IF(AND(Input!$H$58="1st Installment",B151=1),Input!$J$58,IF(Input!$H$58="Monthly",Input!$J$58,IF(AND(Input!$H$58="End of the loan",B151=Input!$E$58),Input!$J$58,"")))),"")</f>
        <v/>
      </c>
      <c r="O151" s="6">
        <f t="shared" si="20"/>
        <v>0</v>
      </c>
      <c r="P151" s="4">
        <f t="shared" si="21"/>
        <v>4163.8335089885131</v>
      </c>
      <c r="T151" s="9">
        <f t="shared" si="22"/>
        <v>48635</v>
      </c>
      <c r="U151" s="5">
        <f t="shared" si="25"/>
        <v>4163.83</v>
      </c>
    </row>
    <row r="152" spans="2:21">
      <c r="B152" s="16">
        <f t="shared" si="26"/>
        <v>135</v>
      </c>
      <c r="C152" s="9">
        <f t="shared" si="27"/>
        <v>48663</v>
      </c>
      <c r="D152" s="6">
        <f>IFERROR((PPMT(Input!$E$55/12,B152,$C$6,Input!$E$54,-Input!$E$65,0))," ")</f>
        <v>-1593.9080325298553</v>
      </c>
      <c r="E152" s="6">
        <f>IFERROR(((IPMT(Input!$E$55/12,B152,$C$6,Input!$E$54,-Input!$E$65,0)))," ")</f>
        <v>-2569.9254764586585</v>
      </c>
      <c r="F152" s="6">
        <f t="shared" si="29"/>
        <v>-189291.53707491711</v>
      </c>
      <c r="G152" s="6">
        <f t="shared" si="28"/>
        <v>-372825.98663853225</v>
      </c>
      <c r="H152" s="6">
        <f t="shared" si="23"/>
        <v>-4163.833508988514</v>
      </c>
      <c r="I152" s="6">
        <f t="shared" si="24"/>
        <v>1310708.462925083</v>
      </c>
      <c r="J152" s="6" t="str">
        <f>IF(B152&lt;&gt;"",IF(AND(Input!$H$54="Annual",MOD(B152,12)=0),Input!$J$54,IF(AND(Input!$H$54="1st Installment",B152=1),Input!$J$54,IF(Input!$H$54="Monthly",Input!$J$54,""))),"")</f>
        <v/>
      </c>
      <c r="K152" s="6">
        <f>IF(B152&lt;&gt;"",IF(AND(Input!$H$55="Annual",MOD(B152,12)=0),Input!$J$55,IF(AND(Input!$H$55="1st Installment",B152=1),Input!$J$55,IF(Input!$H$55="Monthly",Input!$J$55,""))),"")</f>
        <v>0</v>
      </c>
      <c r="L152" s="6" t="str">
        <f>IF(B152&lt;&gt;"",IF(AND(Input!$H$56="Annual",MOD(B152,12)=0),Input!$J$56,IF(AND(Input!$H$56="1st Installment",B152=1),Input!$J$56,IF(Input!$H$56="Monthly",Input!$J$56,""))),"")</f>
        <v/>
      </c>
      <c r="M152" s="6" t="str">
        <f>IF(B152&lt;&gt;"",IF(AND(Input!$H$57="Annual",MOD(B152,12)=0),Input!$J$57,IF(AND(Input!$H$57="1st Installment",B152=1),Input!$J$57,IF(Input!$H$57="Monthly",Input!$J$57,""))),"")</f>
        <v/>
      </c>
      <c r="N152" s="6" t="str">
        <f>IF(B152&lt;&gt;"",IF(AND(Input!$H$58="Annual",MOD(B152,12)=0),Input!$J$58,IF(AND(Input!$H$58="1st Installment",B152=1),Input!$J$58,IF(Input!$H$58="Monthly",Input!$J$58,IF(AND(Input!$H$58="End of the loan",B152=Input!$E$58),Input!$J$58,"")))),"")</f>
        <v/>
      </c>
      <c r="O152" s="6">
        <f t="shared" si="20"/>
        <v>0</v>
      </c>
      <c r="P152" s="4">
        <f t="shared" si="21"/>
        <v>4163.833508988514</v>
      </c>
      <c r="T152" s="9">
        <f t="shared" si="22"/>
        <v>48663</v>
      </c>
      <c r="U152" s="5">
        <f t="shared" si="25"/>
        <v>4163.83</v>
      </c>
    </row>
    <row r="153" spans="2:21">
      <c r="B153" s="16">
        <f t="shared" si="26"/>
        <v>136</v>
      </c>
      <c r="C153" s="9">
        <f t="shared" si="27"/>
        <v>48694</v>
      </c>
      <c r="D153" s="6">
        <f>IFERROR((PPMT(Input!$E$55/12,B153,$C$6,Input!$E$54,-Input!$E$65,0))," ")</f>
        <v>-1597.0294357602261</v>
      </c>
      <c r="E153" s="6">
        <f>IFERROR(((IPMT(Input!$E$55/12,B153,$C$6,Input!$E$54,-Input!$E$65,0)))," ")</f>
        <v>-2566.8040732282875</v>
      </c>
      <c r="F153" s="6">
        <f t="shared" si="29"/>
        <v>-190888.56651067734</v>
      </c>
      <c r="G153" s="6">
        <f t="shared" si="28"/>
        <v>-375392.79071176052</v>
      </c>
      <c r="H153" s="6">
        <f t="shared" si="23"/>
        <v>-4163.8335089885131</v>
      </c>
      <c r="I153" s="6">
        <f t="shared" si="24"/>
        <v>1309111.4334893227</v>
      </c>
      <c r="J153" s="6" t="str">
        <f>IF(B153&lt;&gt;"",IF(AND(Input!$H$54="Annual",MOD(B153,12)=0),Input!$J$54,IF(AND(Input!$H$54="1st Installment",B153=1),Input!$J$54,IF(Input!$H$54="Monthly",Input!$J$54,""))),"")</f>
        <v/>
      </c>
      <c r="K153" s="6">
        <f>IF(B153&lt;&gt;"",IF(AND(Input!$H$55="Annual",MOD(B153,12)=0),Input!$J$55,IF(AND(Input!$H$55="1st Installment",B153=1),Input!$J$55,IF(Input!$H$55="Monthly",Input!$J$55,""))),"")</f>
        <v>0</v>
      </c>
      <c r="L153" s="6" t="str">
        <f>IF(B153&lt;&gt;"",IF(AND(Input!$H$56="Annual",MOD(B153,12)=0),Input!$J$56,IF(AND(Input!$H$56="1st Installment",B153=1),Input!$J$56,IF(Input!$H$56="Monthly",Input!$J$56,""))),"")</f>
        <v/>
      </c>
      <c r="M153" s="6" t="str">
        <f>IF(B153&lt;&gt;"",IF(AND(Input!$H$57="Annual",MOD(B153,12)=0),Input!$J$57,IF(AND(Input!$H$57="1st Installment",B153=1),Input!$J$57,IF(Input!$H$57="Monthly",Input!$J$57,""))),"")</f>
        <v/>
      </c>
      <c r="N153" s="6" t="str">
        <f>IF(B153&lt;&gt;"",IF(AND(Input!$H$58="Annual",MOD(B153,12)=0),Input!$J$58,IF(AND(Input!$H$58="1st Installment",B153=1),Input!$J$58,IF(Input!$H$58="Monthly",Input!$J$58,IF(AND(Input!$H$58="End of the loan",B153=Input!$E$58),Input!$J$58,"")))),"")</f>
        <v/>
      </c>
      <c r="O153" s="6">
        <f t="shared" si="20"/>
        <v>0</v>
      </c>
      <c r="P153" s="4">
        <f t="shared" si="21"/>
        <v>4163.8335089885131</v>
      </c>
      <c r="T153" s="9">
        <f t="shared" si="22"/>
        <v>48694</v>
      </c>
      <c r="U153" s="5">
        <f t="shared" si="25"/>
        <v>4163.83</v>
      </c>
    </row>
    <row r="154" spans="2:21">
      <c r="B154" s="16">
        <f t="shared" si="26"/>
        <v>137</v>
      </c>
      <c r="C154" s="9">
        <f t="shared" si="27"/>
        <v>48724</v>
      </c>
      <c r="D154" s="6">
        <f>IFERROR((PPMT(Input!$E$55/12,B154,$C$6,Input!$E$54,-Input!$E$65,0))," ")</f>
        <v>-1600.1569517385901</v>
      </c>
      <c r="E154" s="6">
        <f>IFERROR(((IPMT(Input!$E$55/12,B154,$C$6,Input!$E$54,-Input!$E$65,0)))," ")</f>
        <v>-2563.6765572499239</v>
      </c>
      <c r="F154" s="6">
        <f t="shared" si="29"/>
        <v>-192488.72346241592</v>
      </c>
      <c r="G154" s="6">
        <f t="shared" si="28"/>
        <v>-377956.46726901043</v>
      </c>
      <c r="H154" s="6">
        <f t="shared" si="23"/>
        <v>-4163.833508988514</v>
      </c>
      <c r="I154" s="6">
        <f t="shared" si="24"/>
        <v>1307511.2765375841</v>
      </c>
      <c r="J154" s="6" t="str">
        <f>IF(B154&lt;&gt;"",IF(AND(Input!$H$54="Annual",MOD(B154,12)=0),Input!$J$54,IF(AND(Input!$H$54="1st Installment",B154=1),Input!$J$54,IF(Input!$H$54="Monthly",Input!$J$54,""))),"")</f>
        <v/>
      </c>
      <c r="K154" s="6">
        <f>IF(B154&lt;&gt;"",IF(AND(Input!$H$55="Annual",MOD(B154,12)=0),Input!$J$55,IF(AND(Input!$H$55="1st Installment",B154=1),Input!$J$55,IF(Input!$H$55="Monthly",Input!$J$55,""))),"")</f>
        <v>0</v>
      </c>
      <c r="L154" s="6" t="str">
        <f>IF(B154&lt;&gt;"",IF(AND(Input!$H$56="Annual",MOD(B154,12)=0),Input!$J$56,IF(AND(Input!$H$56="1st Installment",B154=1),Input!$J$56,IF(Input!$H$56="Monthly",Input!$J$56,""))),"")</f>
        <v/>
      </c>
      <c r="M154" s="6" t="str">
        <f>IF(B154&lt;&gt;"",IF(AND(Input!$H$57="Annual",MOD(B154,12)=0),Input!$J$57,IF(AND(Input!$H$57="1st Installment",B154=1),Input!$J$57,IF(Input!$H$57="Monthly",Input!$J$57,""))),"")</f>
        <v/>
      </c>
      <c r="N154" s="6" t="str">
        <f>IF(B154&lt;&gt;"",IF(AND(Input!$H$58="Annual",MOD(B154,12)=0),Input!$J$58,IF(AND(Input!$H$58="1st Installment",B154=1),Input!$J$58,IF(Input!$H$58="Monthly",Input!$J$58,IF(AND(Input!$H$58="End of the loan",B154=Input!$E$58),Input!$J$58,"")))),"")</f>
        <v/>
      </c>
      <c r="O154" s="6">
        <f t="shared" si="20"/>
        <v>0</v>
      </c>
      <c r="P154" s="4">
        <f t="shared" si="21"/>
        <v>4163.833508988514</v>
      </c>
      <c r="T154" s="9">
        <f t="shared" si="22"/>
        <v>48724</v>
      </c>
      <c r="U154" s="5">
        <f t="shared" si="25"/>
        <v>4163.83</v>
      </c>
    </row>
    <row r="155" spans="2:21">
      <c r="B155" s="16">
        <f t="shared" si="26"/>
        <v>138</v>
      </c>
      <c r="C155" s="9">
        <f t="shared" si="27"/>
        <v>48755</v>
      </c>
      <c r="D155" s="6">
        <f>IFERROR((PPMT(Input!$E$55/12,B155,$C$6,Input!$E$54,-Input!$E$65,0))," ")</f>
        <v>-1603.2905924357447</v>
      </c>
      <c r="E155" s="6">
        <f>IFERROR(((IPMT(Input!$E$55/12,B155,$C$6,Input!$E$54,-Input!$E$65,0)))," ")</f>
        <v>-2560.5429165527689</v>
      </c>
      <c r="F155" s="6">
        <f t="shared" si="29"/>
        <v>-194092.01405485166</v>
      </c>
      <c r="G155" s="6">
        <f t="shared" si="28"/>
        <v>-380517.01018556318</v>
      </c>
      <c r="H155" s="6">
        <f t="shared" si="23"/>
        <v>-4163.8335089885131</v>
      </c>
      <c r="I155" s="6">
        <f t="shared" si="24"/>
        <v>1305907.9859451484</v>
      </c>
      <c r="J155" s="6" t="str">
        <f>IF(B155&lt;&gt;"",IF(AND(Input!$H$54="Annual",MOD(B155,12)=0),Input!$J$54,IF(AND(Input!$H$54="1st Installment",B155=1),Input!$J$54,IF(Input!$H$54="Monthly",Input!$J$54,""))),"")</f>
        <v/>
      </c>
      <c r="K155" s="6">
        <f>IF(B155&lt;&gt;"",IF(AND(Input!$H$55="Annual",MOD(B155,12)=0),Input!$J$55,IF(AND(Input!$H$55="1st Installment",B155=1),Input!$J$55,IF(Input!$H$55="Monthly",Input!$J$55,""))),"")</f>
        <v>0</v>
      </c>
      <c r="L155" s="6" t="str">
        <f>IF(B155&lt;&gt;"",IF(AND(Input!$H$56="Annual",MOD(B155,12)=0),Input!$J$56,IF(AND(Input!$H$56="1st Installment",B155=1),Input!$J$56,IF(Input!$H$56="Monthly",Input!$J$56,""))),"")</f>
        <v/>
      </c>
      <c r="M155" s="6" t="str">
        <f>IF(B155&lt;&gt;"",IF(AND(Input!$H$57="Annual",MOD(B155,12)=0),Input!$J$57,IF(AND(Input!$H$57="1st Installment",B155=1),Input!$J$57,IF(Input!$H$57="Monthly",Input!$J$57,""))),"")</f>
        <v/>
      </c>
      <c r="N155" s="6" t="str">
        <f>IF(B155&lt;&gt;"",IF(AND(Input!$H$58="Annual",MOD(B155,12)=0),Input!$J$58,IF(AND(Input!$H$58="1st Installment",B155=1),Input!$J$58,IF(Input!$H$58="Monthly",Input!$J$58,IF(AND(Input!$H$58="End of the loan",B155=Input!$E$58),Input!$J$58,"")))),"")</f>
        <v/>
      </c>
      <c r="O155" s="6">
        <f t="shared" si="20"/>
        <v>0</v>
      </c>
      <c r="P155" s="4">
        <f t="shared" si="21"/>
        <v>4163.8335089885131</v>
      </c>
      <c r="T155" s="9">
        <f t="shared" si="22"/>
        <v>48755</v>
      </c>
      <c r="U155" s="5">
        <f t="shared" si="25"/>
        <v>4163.83</v>
      </c>
    </row>
    <row r="156" spans="2:21">
      <c r="B156" s="16">
        <f t="shared" si="26"/>
        <v>139</v>
      </c>
      <c r="C156" s="9">
        <f t="shared" si="27"/>
        <v>48785</v>
      </c>
      <c r="D156" s="6">
        <f>IFERROR((PPMT(Input!$E$55/12,B156,$C$6,Input!$E$54,-Input!$E$65,0))," ")</f>
        <v>-1606.4303698459314</v>
      </c>
      <c r="E156" s="6">
        <f>IFERROR(((IPMT(Input!$E$55/12,B156,$C$6,Input!$E$54,-Input!$E$65,0)))," ")</f>
        <v>-2557.4031391425819</v>
      </c>
      <c r="F156" s="6">
        <f t="shared" si="29"/>
        <v>-195698.44442469761</v>
      </c>
      <c r="G156" s="6">
        <f t="shared" si="28"/>
        <v>-383074.41332470579</v>
      </c>
      <c r="H156" s="6">
        <f t="shared" si="23"/>
        <v>-4163.8335089885131</v>
      </c>
      <c r="I156" s="6">
        <f t="shared" si="24"/>
        <v>1304301.5555753023</v>
      </c>
      <c r="J156" s="6" t="str">
        <f>IF(B156&lt;&gt;"",IF(AND(Input!$H$54="Annual",MOD(B156,12)=0),Input!$J$54,IF(AND(Input!$H$54="1st Installment",B156=1),Input!$J$54,IF(Input!$H$54="Monthly",Input!$J$54,""))),"")</f>
        <v/>
      </c>
      <c r="K156" s="6">
        <f>IF(B156&lt;&gt;"",IF(AND(Input!$H$55="Annual",MOD(B156,12)=0),Input!$J$55,IF(AND(Input!$H$55="1st Installment",B156=1),Input!$J$55,IF(Input!$H$55="Monthly",Input!$J$55,""))),"")</f>
        <v>0</v>
      </c>
      <c r="L156" s="6" t="str">
        <f>IF(B156&lt;&gt;"",IF(AND(Input!$H$56="Annual",MOD(B156,12)=0),Input!$J$56,IF(AND(Input!$H$56="1st Installment",B156=1),Input!$J$56,IF(Input!$H$56="Monthly",Input!$J$56,""))),"")</f>
        <v/>
      </c>
      <c r="M156" s="6" t="str">
        <f>IF(B156&lt;&gt;"",IF(AND(Input!$H$57="Annual",MOD(B156,12)=0),Input!$J$57,IF(AND(Input!$H$57="1st Installment",B156=1),Input!$J$57,IF(Input!$H$57="Monthly",Input!$J$57,""))),"")</f>
        <v/>
      </c>
      <c r="N156" s="6" t="str">
        <f>IF(B156&lt;&gt;"",IF(AND(Input!$H$58="Annual",MOD(B156,12)=0),Input!$J$58,IF(AND(Input!$H$58="1st Installment",B156=1),Input!$J$58,IF(Input!$H$58="Monthly",Input!$J$58,IF(AND(Input!$H$58="End of the loan",B156=Input!$E$58),Input!$J$58,"")))),"")</f>
        <v/>
      </c>
      <c r="O156" s="6">
        <f t="shared" si="20"/>
        <v>0</v>
      </c>
      <c r="P156" s="4">
        <f t="shared" si="21"/>
        <v>4163.8335089885131</v>
      </c>
      <c r="T156" s="9">
        <f t="shared" si="22"/>
        <v>48785</v>
      </c>
      <c r="U156" s="5">
        <f t="shared" si="25"/>
        <v>4163.83</v>
      </c>
    </row>
    <row r="157" spans="2:21">
      <c r="B157" s="16">
        <f t="shared" si="26"/>
        <v>140</v>
      </c>
      <c r="C157" s="9">
        <f t="shared" si="27"/>
        <v>48816</v>
      </c>
      <c r="D157" s="6">
        <f>IFERROR((PPMT(Input!$E$55/12,B157,$C$6,Input!$E$54,-Input!$E$65,0))," ")</f>
        <v>-1609.5762959868796</v>
      </c>
      <c r="E157" s="6">
        <f>IFERROR(((IPMT(Input!$E$55/12,B157,$C$6,Input!$E$54,-Input!$E$65,0)))," ")</f>
        <v>-2554.2572130016342</v>
      </c>
      <c r="F157" s="6">
        <f t="shared" si="29"/>
        <v>-197308.02072068449</v>
      </c>
      <c r="G157" s="6">
        <f t="shared" si="28"/>
        <v>-385628.6705377074</v>
      </c>
      <c r="H157" s="6">
        <f t="shared" si="23"/>
        <v>-4163.833508988514</v>
      </c>
      <c r="I157" s="6">
        <f t="shared" si="24"/>
        <v>1302691.9792793156</v>
      </c>
      <c r="J157" s="6" t="str">
        <f>IF(B157&lt;&gt;"",IF(AND(Input!$H$54="Annual",MOD(B157,12)=0),Input!$J$54,IF(AND(Input!$H$54="1st Installment",B157=1),Input!$J$54,IF(Input!$H$54="Monthly",Input!$J$54,""))),"")</f>
        <v/>
      </c>
      <c r="K157" s="6">
        <f>IF(B157&lt;&gt;"",IF(AND(Input!$H$55="Annual",MOD(B157,12)=0),Input!$J$55,IF(AND(Input!$H$55="1st Installment",B157=1),Input!$J$55,IF(Input!$H$55="Monthly",Input!$J$55,""))),"")</f>
        <v>0</v>
      </c>
      <c r="L157" s="6" t="str">
        <f>IF(B157&lt;&gt;"",IF(AND(Input!$H$56="Annual",MOD(B157,12)=0),Input!$J$56,IF(AND(Input!$H$56="1st Installment",B157=1),Input!$J$56,IF(Input!$H$56="Monthly",Input!$J$56,""))),"")</f>
        <v/>
      </c>
      <c r="M157" s="6" t="str">
        <f>IF(B157&lt;&gt;"",IF(AND(Input!$H$57="Annual",MOD(B157,12)=0),Input!$J$57,IF(AND(Input!$H$57="1st Installment",B157=1),Input!$J$57,IF(Input!$H$57="Monthly",Input!$J$57,""))),"")</f>
        <v/>
      </c>
      <c r="N157" s="6" t="str">
        <f>IF(B157&lt;&gt;"",IF(AND(Input!$H$58="Annual",MOD(B157,12)=0),Input!$J$58,IF(AND(Input!$H$58="1st Installment",B157=1),Input!$J$58,IF(Input!$H$58="Monthly",Input!$J$58,IF(AND(Input!$H$58="End of the loan",B157=Input!$E$58),Input!$J$58,"")))),"")</f>
        <v/>
      </c>
      <c r="O157" s="6">
        <f t="shared" si="20"/>
        <v>0</v>
      </c>
      <c r="P157" s="4">
        <f t="shared" si="21"/>
        <v>4163.833508988514</v>
      </c>
      <c r="T157" s="9">
        <f t="shared" si="22"/>
        <v>48816</v>
      </c>
      <c r="U157" s="5">
        <f t="shared" si="25"/>
        <v>4163.83</v>
      </c>
    </row>
    <row r="158" spans="2:21">
      <c r="B158" s="16">
        <f t="shared" si="26"/>
        <v>141</v>
      </c>
      <c r="C158" s="9">
        <f t="shared" si="27"/>
        <v>48847</v>
      </c>
      <c r="D158" s="6">
        <f>IFERROR((PPMT(Input!$E$55/12,B158,$C$6,Input!$E$54,-Input!$E$65,0))," ")</f>
        <v>-1612.7283828998543</v>
      </c>
      <c r="E158" s="6">
        <f>IFERROR(((IPMT(Input!$E$55/12,B158,$C$6,Input!$E$54,-Input!$E$65,0)))," ")</f>
        <v>-2551.1051260886593</v>
      </c>
      <c r="F158" s="6">
        <f t="shared" si="29"/>
        <v>-198920.74910358436</v>
      </c>
      <c r="G158" s="6">
        <f t="shared" si="28"/>
        <v>-388179.77566379606</v>
      </c>
      <c r="H158" s="6">
        <f t="shared" si="23"/>
        <v>-4163.8335089885131</v>
      </c>
      <c r="I158" s="6">
        <f t="shared" si="24"/>
        <v>1301079.2508964157</v>
      </c>
      <c r="J158" s="6" t="str">
        <f>IF(B158&lt;&gt;"",IF(AND(Input!$H$54="Annual",MOD(B158,12)=0),Input!$J$54,IF(AND(Input!$H$54="1st Installment",B158=1),Input!$J$54,IF(Input!$H$54="Monthly",Input!$J$54,""))),"")</f>
        <v/>
      </c>
      <c r="K158" s="6">
        <f>IF(B158&lt;&gt;"",IF(AND(Input!$H$55="Annual",MOD(B158,12)=0),Input!$J$55,IF(AND(Input!$H$55="1st Installment",B158=1),Input!$J$55,IF(Input!$H$55="Monthly",Input!$J$55,""))),"")</f>
        <v>0</v>
      </c>
      <c r="L158" s="6" t="str">
        <f>IF(B158&lt;&gt;"",IF(AND(Input!$H$56="Annual",MOD(B158,12)=0),Input!$J$56,IF(AND(Input!$H$56="1st Installment",B158=1),Input!$J$56,IF(Input!$H$56="Monthly",Input!$J$56,""))),"")</f>
        <v/>
      </c>
      <c r="M158" s="6" t="str">
        <f>IF(B158&lt;&gt;"",IF(AND(Input!$H$57="Annual",MOD(B158,12)=0),Input!$J$57,IF(AND(Input!$H$57="1st Installment",B158=1),Input!$J$57,IF(Input!$H$57="Monthly",Input!$J$57,""))),"")</f>
        <v/>
      </c>
      <c r="N158" s="6" t="str">
        <f>IF(B158&lt;&gt;"",IF(AND(Input!$H$58="Annual",MOD(B158,12)=0),Input!$J$58,IF(AND(Input!$H$58="1st Installment",B158=1),Input!$J$58,IF(Input!$H$58="Monthly",Input!$J$58,IF(AND(Input!$H$58="End of the loan",B158=Input!$E$58),Input!$J$58,"")))),"")</f>
        <v/>
      </c>
      <c r="O158" s="6">
        <f t="shared" si="20"/>
        <v>0</v>
      </c>
      <c r="P158" s="4">
        <f t="shared" si="21"/>
        <v>4163.8335089885131</v>
      </c>
      <c r="T158" s="9">
        <f t="shared" si="22"/>
        <v>48847</v>
      </c>
      <c r="U158" s="5">
        <f t="shared" si="25"/>
        <v>4163.83</v>
      </c>
    </row>
    <row r="159" spans="2:21">
      <c r="B159" s="16">
        <f t="shared" si="26"/>
        <v>142</v>
      </c>
      <c r="C159" s="9">
        <f t="shared" si="27"/>
        <v>48877</v>
      </c>
      <c r="D159" s="6">
        <f>IFERROR((PPMT(Input!$E$55/12,B159,$C$6,Input!$E$54,-Input!$E$65,0))," ")</f>
        <v>-1615.8866426496995</v>
      </c>
      <c r="E159" s="6">
        <f>IFERROR(((IPMT(Input!$E$55/12,B159,$C$6,Input!$E$54,-Input!$E$65,0)))," ")</f>
        <v>-2547.9468663388143</v>
      </c>
      <c r="F159" s="6">
        <f t="shared" si="29"/>
        <v>-200536.63574623407</v>
      </c>
      <c r="G159" s="6">
        <f t="shared" si="28"/>
        <v>-390727.7225301349</v>
      </c>
      <c r="H159" s="6">
        <f t="shared" si="23"/>
        <v>-4163.833508988514</v>
      </c>
      <c r="I159" s="6">
        <f t="shared" si="24"/>
        <v>1299463.3642537659</v>
      </c>
      <c r="J159" s="6" t="str">
        <f>IF(B159&lt;&gt;"",IF(AND(Input!$H$54="Annual",MOD(B159,12)=0),Input!$J$54,IF(AND(Input!$H$54="1st Installment",B159=1),Input!$J$54,IF(Input!$H$54="Monthly",Input!$J$54,""))),"")</f>
        <v/>
      </c>
      <c r="K159" s="6">
        <f>IF(B159&lt;&gt;"",IF(AND(Input!$H$55="Annual",MOD(B159,12)=0),Input!$J$55,IF(AND(Input!$H$55="1st Installment",B159=1),Input!$J$55,IF(Input!$H$55="Monthly",Input!$J$55,""))),"")</f>
        <v>0</v>
      </c>
      <c r="L159" s="6" t="str">
        <f>IF(B159&lt;&gt;"",IF(AND(Input!$H$56="Annual",MOD(B159,12)=0),Input!$J$56,IF(AND(Input!$H$56="1st Installment",B159=1),Input!$J$56,IF(Input!$H$56="Monthly",Input!$J$56,""))),"")</f>
        <v/>
      </c>
      <c r="M159" s="6" t="str">
        <f>IF(B159&lt;&gt;"",IF(AND(Input!$H$57="Annual",MOD(B159,12)=0),Input!$J$57,IF(AND(Input!$H$57="1st Installment",B159=1),Input!$J$57,IF(Input!$H$57="Monthly",Input!$J$57,""))),"")</f>
        <v/>
      </c>
      <c r="N159" s="6" t="str">
        <f>IF(B159&lt;&gt;"",IF(AND(Input!$H$58="Annual",MOD(B159,12)=0),Input!$J$58,IF(AND(Input!$H$58="1st Installment",B159=1),Input!$J$58,IF(Input!$H$58="Monthly",Input!$J$58,IF(AND(Input!$H$58="End of the loan",B159=Input!$E$58),Input!$J$58,"")))),"")</f>
        <v/>
      </c>
      <c r="O159" s="6">
        <f t="shared" si="20"/>
        <v>0</v>
      </c>
      <c r="P159" s="4">
        <f t="shared" si="21"/>
        <v>4163.833508988514</v>
      </c>
      <c r="T159" s="9">
        <f t="shared" si="22"/>
        <v>48877</v>
      </c>
      <c r="U159" s="5">
        <f t="shared" si="25"/>
        <v>4163.83</v>
      </c>
    </row>
    <row r="160" spans="2:21">
      <c r="B160" s="16">
        <f t="shared" si="26"/>
        <v>143</v>
      </c>
      <c r="C160" s="9">
        <f t="shared" si="27"/>
        <v>48908</v>
      </c>
      <c r="D160" s="6">
        <f>IFERROR((PPMT(Input!$E$55/12,B160,$C$6,Input!$E$54,-Input!$E$65,0))," ")</f>
        <v>-1619.0510873248886</v>
      </c>
      <c r="E160" s="6">
        <f>IFERROR(((IPMT(Input!$E$55/12,B160,$C$6,Input!$E$54,-Input!$E$65,0)))," ")</f>
        <v>-2544.782421663625</v>
      </c>
      <c r="F160" s="6">
        <f t="shared" si="29"/>
        <v>-202155.68683355895</v>
      </c>
      <c r="G160" s="6">
        <f t="shared" si="28"/>
        <v>-393272.50495179853</v>
      </c>
      <c r="H160" s="6">
        <f t="shared" si="23"/>
        <v>-4163.8335089885131</v>
      </c>
      <c r="I160" s="6">
        <f t="shared" si="24"/>
        <v>1297844.3131664409</v>
      </c>
      <c r="J160" s="6" t="str">
        <f>IF(B160&lt;&gt;"",IF(AND(Input!$H$54="Annual",MOD(B160,12)=0),Input!$J$54,IF(AND(Input!$H$54="1st Installment",B160=1),Input!$J$54,IF(Input!$H$54="Monthly",Input!$J$54,""))),"")</f>
        <v/>
      </c>
      <c r="K160" s="6">
        <f>IF(B160&lt;&gt;"",IF(AND(Input!$H$55="Annual",MOD(B160,12)=0),Input!$J$55,IF(AND(Input!$H$55="1st Installment",B160=1),Input!$J$55,IF(Input!$H$55="Monthly",Input!$J$55,""))),"")</f>
        <v>0</v>
      </c>
      <c r="L160" s="6" t="str">
        <f>IF(B160&lt;&gt;"",IF(AND(Input!$H$56="Annual",MOD(B160,12)=0),Input!$J$56,IF(AND(Input!$H$56="1st Installment",B160=1),Input!$J$56,IF(Input!$H$56="Monthly",Input!$J$56,""))),"")</f>
        <v/>
      </c>
      <c r="M160" s="6" t="str">
        <f>IF(B160&lt;&gt;"",IF(AND(Input!$H$57="Annual",MOD(B160,12)=0),Input!$J$57,IF(AND(Input!$H$57="1st Installment",B160=1),Input!$J$57,IF(Input!$H$57="Monthly",Input!$J$57,""))),"")</f>
        <v/>
      </c>
      <c r="N160" s="6" t="str">
        <f>IF(B160&lt;&gt;"",IF(AND(Input!$H$58="Annual",MOD(B160,12)=0),Input!$J$58,IF(AND(Input!$H$58="1st Installment",B160=1),Input!$J$58,IF(Input!$H$58="Monthly",Input!$J$58,IF(AND(Input!$H$58="End of the loan",B160=Input!$E$58),Input!$J$58,"")))),"")</f>
        <v/>
      </c>
      <c r="O160" s="6">
        <f t="shared" si="20"/>
        <v>0</v>
      </c>
      <c r="P160" s="4">
        <f t="shared" si="21"/>
        <v>4163.8335089885131</v>
      </c>
      <c r="T160" s="9">
        <f t="shared" si="22"/>
        <v>48908</v>
      </c>
      <c r="U160" s="5">
        <f t="shared" si="25"/>
        <v>4163.83</v>
      </c>
    </row>
    <row r="161" spans="2:21">
      <c r="B161" s="16">
        <f t="shared" si="26"/>
        <v>144</v>
      </c>
      <c r="C161" s="9">
        <f t="shared" si="27"/>
        <v>48938</v>
      </c>
      <c r="D161" s="6">
        <f>IFERROR((PPMT(Input!$E$55/12,B161,$C$6,Input!$E$54,-Input!$E$65,0))," ")</f>
        <v>-1622.2217290375665</v>
      </c>
      <c r="E161" s="6">
        <f>IFERROR(((IPMT(Input!$E$55/12,B161,$C$6,Input!$E$54,-Input!$E$65,0)))," ")</f>
        <v>-2541.6117799509475</v>
      </c>
      <c r="F161" s="6">
        <f t="shared" si="29"/>
        <v>-203777.90856259651</v>
      </c>
      <c r="G161" s="6">
        <f t="shared" si="28"/>
        <v>-395814.1167317495</v>
      </c>
      <c r="H161" s="6">
        <f t="shared" si="23"/>
        <v>-4163.833508988514</v>
      </c>
      <c r="I161" s="6">
        <f t="shared" si="24"/>
        <v>1296222.0914374036</v>
      </c>
      <c r="J161" s="6" t="str">
        <f>IF(B161&lt;&gt;"",IF(AND(Input!$H$54="Annual",MOD(B161,12)=0),Input!$J$54,IF(AND(Input!$H$54="1st Installment",B161=1),Input!$J$54,IF(Input!$H$54="Monthly",Input!$J$54,""))),"")</f>
        <v/>
      </c>
      <c r="K161" s="6">
        <f>IF(B161&lt;&gt;"",IF(AND(Input!$H$55="Annual",MOD(B161,12)=0),Input!$J$55,IF(AND(Input!$H$55="1st Installment",B161=1),Input!$J$55,IF(Input!$H$55="Monthly",Input!$J$55,""))),"")</f>
        <v>0</v>
      </c>
      <c r="L161" s="6" t="str">
        <f>IF(B161&lt;&gt;"",IF(AND(Input!$H$56="Annual",MOD(B161,12)=0),Input!$J$56,IF(AND(Input!$H$56="1st Installment",B161=1),Input!$J$56,IF(Input!$H$56="Monthly",Input!$J$56,""))),"")</f>
        <v/>
      </c>
      <c r="M161" s="6" t="str">
        <f>IF(B161&lt;&gt;"",IF(AND(Input!$H$57="Annual",MOD(B161,12)=0),Input!$J$57,IF(AND(Input!$H$57="1st Installment",B161=1),Input!$J$57,IF(Input!$H$57="Monthly",Input!$J$57,""))),"")</f>
        <v/>
      </c>
      <c r="N161" s="6" t="str">
        <f>IF(B161&lt;&gt;"",IF(AND(Input!$H$58="Annual",MOD(B161,12)=0),Input!$J$58,IF(AND(Input!$H$58="1st Installment",B161=1),Input!$J$58,IF(Input!$H$58="Monthly",Input!$J$58,IF(AND(Input!$H$58="End of the loan",B161=Input!$E$58),Input!$J$58,"")))),"")</f>
        <v/>
      </c>
      <c r="O161" s="6">
        <f t="shared" si="20"/>
        <v>0</v>
      </c>
      <c r="P161" s="4">
        <f t="shared" si="21"/>
        <v>4163.833508988514</v>
      </c>
      <c r="T161" s="9">
        <f t="shared" si="22"/>
        <v>48938</v>
      </c>
      <c r="U161" s="5">
        <f t="shared" si="25"/>
        <v>4163.83</v>
      </c>
    </row>
    <row r="162" spans="2:21">
      <c r="B162" s="16">
        <f t="shared" si="26"/>
        <v>145</v>
      </c>
      <c r="C162" s="9">
        <f t="shared" si="27"/>
        <v>48969</v>
      </c>
      <c r="D162" s="6">
        <f>IFERROR((PPMT(Input!$E$55/12,B162,$C$6,Input!$E$54,-Input!$E$65,0))," ")</f>
        <v>-1625.3985799235984</v>
      </c>
      <c r="E162" s="6">
        <f>IFERROR(((IPMT(Input!$E$55/12,B162,$C$6,Input!$E$54,-Input!$E$65,0)))," ")</f>
        <v>-2538.4349290649152</v>
      </c>
      <c r="F162" s="6">
        <f t="shared" si="29"/>
        <v>-205403.30714252012</v>
      </c>
      <c r="G162" s="6">
        <f t="shared" si="28"/>
        <v>-398352.55166081444</v>
      </c>
      <c r="H162" s="6">
        <f t="shared" si="23"/>
        <v>-4163.8335089885131</v>
      </c>
      <c r="I162" s="6">
        <f t="shared" si="24"/>
        <v>1294596.6928574799</v>
      </c>
      <c r="J162" s="6" t="str">
        <f>IF(B162&lt;&gt;"",IF(AND(Input!$H$54="Annual",MOD(B162,12)=0),Input!$J$54,IF(AND(Input!$H$54="1st Installment",B162=1),Input!$J$54,IF(Input!$H$54="Monthly",Input!$J$54,""))),"")</f>
        <v/>
      </c>
      <c r="K162" s="6">
        <f>IF(B162&lt;&gt;"",IF(AND(Input!$H$55="Annual",MOD(B162,12)=0),Input!$J$55,IF(AND(Input!$H$55="1st Installment",B162=1),Input!$J$55,IF(Input!$H$55="Monthly",Input!$J$55,""))),"")</f>
        <v>0</v>
      </c>
      <c r="L162" s="6" t="str">
        <f>IF(B162&lt;&gt;"",IF(AND(Input!$H$56="Annual",MOD(B162,12)=0),Input!$J$56,IF(AND(Input!$H$56="1st Installment",B162=1),Input!$J$56,IF(Input!$H$56="Monthly",Input!$J$56,""))),"")</f>
        <v/>
      </c>
      <c r="M162" s="6" t="str">
        <f>IF(B162&lt;&gt;"",IF(AND(Input!$H$57="Annual",MOD(B162,12)=0),Input!$J$57,IF(AND(Input!$H$57="1st Installment",B162=1),Input!$J$57,IF(Input!$H$57="Monthly",Input!$J$57,""))),"")</f>
        <v/>
      </c>
      <c r="N162" s="6" t="str">
        <f>IF(B162&lt;&gt;"",IF(AND(Input!$H$58="Annual",MOD(B162,12)=0),Input!$J$58,IF(AND(Input!$H$58="1st Installment",B162=1),Input!$J$58,IF(Input!$H$58="Monthly",Input!$J$58,IF(AND(Input!$H$58="End of the loan",B162=Input!$E$58),Input!$J$58,"")))),"")</f>
        <v/>
      </c>
      <c r="O162" s="6">
        <f t="shared" si="20"/>
        <v>0</v>
      </c>
      <c r="P162" s="4">
        <f t="shared" si="21"/>
        <v>4163.8335089885131</v>
      </c>
      <c r="T162" s="9">
        <f t="shared" si="22"/>
        <v>48969</v>
      </c>
      <c r="U162" s="5">
        <f t="shared" si="25"/>
        <v>4163.83</v>
      </c>
    </row>
    <row r="163" spans="2:21">
      <c r="B163" s="16">
        <f t="shared" si="26"/>
        <v>146</v>
      </c>
      <c r="C163" s="9">
        <f t="shared" si="27"/>
        <v>49000</v>
      </c>
      <c r="D163" s="6">
        <f>IFERROR((PPMT(Input!$E$55/12,B163,$C$6,Input!$E$54,-Input!$E$65,0))," ")</f>
        <v>-1628.5816521426154</v>
      </c>
      <c r="E163" s="6">
        <f>IFERROR(((IPMT(Input!$E$55/12,B163,$C$6,Input!$E$54,-Input!$E$65,0)))," ")</f>
        <v>-2535.2518568458986</v>
      </c>
      <c r="F163" s="6">
        <f t="shared" si="29"/>
        <v>-207031.88879466272</v>
      </c>
      <c r="G163" s="6">
        <f t="shared" si="28"/>
        <v>-400887.80351766036</v>
      </c>
      <c r="H163" s="6">
        <f t="shared" si="23"/>
        <v>-4163.833508988514</v>
      </c>
      <c r="I163" s="6">
        <f t="shared" si="24"/>
        <v>1292968.1112053373</v>
      </c>
      <c r="J163" s="6" t="str">
        <f>IF(B163&lt;&gt;"",IF(AND(Input!$H$54="Annual",MOD(B163,12)=0),Input!$J$54,IF(AND(Input!$H$54="1st Installment",B163=1),Input!$J$54,IF(Input!$H$54="Monthly",Input!$J$54,""))),"")</f>
        <v/>
      </c>
      <c r="K163" s="6">
        <f>IF(B163&lt;&gt;"",IF(AND(Input!$H$55="Annual",MOD(B163,12)=0),Input!$J$55,IF(AND(Input!$H$55="1st Installment",B163=1),Input!$J$55,IF(Input!$H$55="Monthly",Input!$J$55,""))),"")</f>
        <v>0</v>
      </c>
      <c r="L163" s="6" t="str">
        <f>IF(B163&lt;&gt;"",IF(AND(Input!$H$56="Annual",MOD(B163,12)=0),Input!$J$56,IF(AND(Input!$H$56="1st Installment",B163=1),Input!$J$56,IF(Input!$H$56="Monthly",Input!$J$56,""))),"")</f>
        <v/>
      </c>
      <c r="M163" s="6" t="str">
        <f>IF(B163&lt;&gt;"",IF(AND(Input!$H$57="Annual",MOD(B163,12)=0),Input!$J$57,IF(AND(Input!$H$57="1st Installment",B163=1),Input!$J$57,IF(Input!$H$57="Monthly",Input!$J$57,""))),"")</f>
        <v/>
      </c>
      <c r="N163" s="6" t="str">
        <f>IF(B163&lt;&gt;"",IF(AND(Input!$H$58="Annual",MOD(B163,12)=0),Input!$J$58,IF(AND(Input!$H$58="1st Installment",B163=1),Input!$J$58,IF(Input!$H$58="Monthly",Input!$J$58,IF(AND(Input!$H$58="End of the loan",B163=Input!$E$58),Input!$J$58,"")))),"")</f>
        <v/>
      </c>
      <c r="O163" s="6">
        <f t="shared" si="20"/>
        <v>0</v>
      </c>
      <c r="P163" s="4">
        <f t="shared" si="21"/>
        <v>4163.833508988514</v>
      </c>
      <c r="T163" s="9">
        <f t="shared" si="22"/>
        <v>49000</v>
      </c>
      <c r="U163" s="5">
        <f t="shared" si="25"/>
        <v>4163.83</v>
      </c>
    </row>
    <row r="164" spans="2:21">
      <c r="B164" s="16">
        <f t="shared" si="26"/>
        <v>147</v>
      </c>
      <c r="C164" s="9">
        <f t="shared" si="27"/>
        <v>49028</v>
      </c>
      <c r="D164" s="6">
        <f>IFERROR((PPMT(Input!$E$55/12,B164,$C$6,Input!$E$54,-Input!$E$65,0))," ")</f>
        <v>-1631.7709578780614</v>
      </c>
      <c r="E164" s="6">
        <f>IFERROR(((IPMT(Input!$E$55/12,B164,$C$6,Input!$E$54,-Input!$E$65,0)))," ")</f>
        <v>-2532.0625511104527</v>
      </c>
      <c r="F164" s="6">
        <f t="shared" si="29"/>
        <v>-208663.65975254079</v>
      </c>
      <c r="G164" s="6">
        <f t="shared" si="28"/>
        <v>-403419.86606877082</v>
      </c>
      <c r="H164" s="6">
        <f t="shared" si="23"/>
        <v>-4163.833508988514</v>
      </c>
      <c r="I164" s="6">
        <f t="shared" si="24"/>
        <v>1291336.3402474592</v>
      </c>
      <c r="J164" s="6" t="str">
        <f>IF(B164&lt;&gt;"",IF(AND(Input!$H$54="Annual",MOD(B164,12)=0),Input!$J$54,IF(AND(Input!$H$54="1st Installment",B164=1),Input!$J$54,IF(Input!$H$54="Monthly",Input!$J$54,""))),"")</f>
        <v/>
      </c>
      <c r="K164" s="6">
        <f>IF(B164&lt;&gt;"",IF(AND(Input!$H$55="Annual",MOD(B164,12)=0),Input!$J$55,IF(AND(Input!$H$55="1st Installment",B164=1),Input!$J$55,IF(Input!$H$55="Monthly",Input!$J$55,""))),"")</f>
        <v>0</v>
      </c>
      <c r="L164" s="6" t="str">
        <f>IF(B164&lt;&gt;"",IF(AND(Input!$H$56="Annual",MOD(B164,12)=0),Input!$J$56,IF(AND(Input!$H$56="1st Installment",B164=1),Input!$J$56,IF(Input!$H$56="Monthly",Input!$J$56,""))),"")</f>
        <v/>
      </c>
      <c r="M164" s="6" t="str">
        <f>IF(B164&lt;&gt;"",IF(AND(Input!$H$57="Annual",MOD(B164,12)=0),Input!$J$57,IF(AND(Input!$H$57="1st Installment",B164=1),Input!$J$57,IF(Input!$H$57="Monthly",Input!$J$57,""))),"")</f>
        <v/>
      </c>
      <c r="N164" s="6" t="str">
        <f>IF(B164&lt;&gt;"",IF(AND(Input!$H$58="Annual",MOD(B164,12)=0),Input!$J$58,IF(AND(Input!$H$58="1st Installment",B164=1),Input!$J$58,IF(Input!$H$58="Monthly",Input!$J$58,IF(AND(Input!$H$58="End of the loan",B164=Input!$E$58),Input!$J$58,"")))),"")</f>
        <v/>
      </c>
      <c r="O164" s="6">
        <f t="shared" si="20"/>
        <v>0</v>
      </c>
      <c r="P164" s="4">
        <f t="shared" si="21"/>
        <v>4163.833508988514</v>
      </c>
      <c r="T164" s="9">
        <f t="shared" si="22"/>
        <v>49028</v>
      </c>
      <c r="U164" s="5">
        <f t="shared" si="25"/>
        <v>4163.83</v>
      </c>
    </row>
    <row r="165" spans="2:21">
      <c r="B165" s="16">
        <f t="shared" si="26"/>
        <v>148</v>
      </c>
      <c r="C165" s="9">
        <f t="shared" si="27"/>
        <v>49059</v>
      </c>
      <c r="D165" s="6">
        <f>IFERROR((PPMT(Input!$E$55/12,B165,$C$6,Input!$E$54,-Input!$E$65,0))," ")</f>
        <v>-1634.9665093372394</v>
      </c>
      <c r="E165" s="6">
        <f>IFERROR(((IPMT(Input!$E$55/12,B165,$C$6,Input!$E$54,-Input!$E$65,0)))," ")</f>
        <v>-2528.866999651274</v>
      </c>
      <c r="F165" s="6">
        <f t="shared" si="29"/>
        <v>-210298.62626187803</v>
      </c>
      <c r="G165" s="6">
        <f t="shared" si="28"/>
        <v>-405948.73306842207</v>
      </c>
      <c r="H165" s="6">
        <f t="shared" si="23"/>
        <v>-4163.8335089885131</v>
      </c>
      <c r="I165" s="6">
        <f t="shared" si="24"/>
        <v>1289701.3737381219</v>
      </c>
      <c r="J165" s="6" t="str">
        <f>IF(B165&lt;&gt;"",IF(AND(Input!$H$54="Annual",MOD(B165,12)=0),Input!$J$54,IF(AND(Input!$H$54="1st Installment",B165=1),Input!$J$54,IF(Input!$H$54="Monthly",Input!$J$54,""))),"")</f>
        <v/>
      </c>
      <c r="K165" s="6">
        <f>IF(B165&lt;&gt;"",IF(AND(Input!$H$55="Annual",MOD(B165,12)=0),Input!$J$55,IF(AND(Input!$H$55="1st Installment",B165=1),Input!$J$55,IF(Input!$H$55="Monthly",Input!$J$55,""))),"")</f>
        <v>0</v>
      </c>
      <c r="L165" s="6" t="str">
        <f>IF(B165&lt;&gt;"",IF(AND(Input!$H$56="Annual",MOD(B165,12)=0),Input!$J$56,IF(AND(Input!$H$56="1st Installment",B165=1),Input!$J$56,IF(Input!$H$56="Monthly",Input!$J$56,""))),"")</f>
        <v/>
      </c>
      <c r="M165" s="6" t="str">
        <f>IF(B165&lt;&gt;"",IF(AND(Input!$H$57="Annual",MOD(B165,12)=0),Input!$J$57,IF(AND(Input!$H$57="1st Installment",B165=1),Input!$J$57,IF(Input!$H$57="Monthly",Input!$J$57,""))),"")</f>
        <v/>
      </c>
      <c r="N165" s="6" t="str">
        <f>IF(B165&lt;&gt;"",IF(AND(Input!$H$58="Annual",MOD(B165,12)=0),Input!$J$58,IF(AND(Input!$H$58="1st Installment",B165=1),Input!$J$58,IF(Input!$H$58="Monthly",Input!$J$58,IF(AND(Input!$H$58="End of the loan",B165=Input!$E$58),Input!$J$58,"")))),"")</f>
        <v/>
      </c>
      <c r="O165" s="6">
        <f t="shared" si="20"/>
        <v>0</v>
      </c>
      <c r="P165" s="4">
        <f t="shared" si="21"/>
        <v>4163.8335089885131</v>
      </c>
      <c r="T165" s="9">
        <f t="shared" si="22"/>
        <v>49059</v>
      </c>
      <c r="U165" s="5">
        <f t="shared" si="25"/>
        <v>4163.83</v>
      </c>
    </row>
    <row r="166" spans="2:21">
      <c r="B166" s="16">
        <f t="shared" si="26"/>
        <v>149</v>
      </c>
      <c r="C166" s="9">
        <f t="shared" si="27"/>
        <v>49089</v>
      </c>
      <c r="D166" s="6">
        <f>IFERROR((PPMT(Input!$E$55/12,B166,$C$6,Input!$E$54,-Input!$E$65,0))," ")</f>
        <v>-1638.1683187513579</v>
      </c>
      <c r="E166" s="6">
        <f>IFERROR(((IPMT(Input!$E$55/12,B166,$C$6,Input!$E$54,-Input!$E$65,0)))," ")</f>
        <v>-2525.6651902371559</v>
      </c>
      <c r="F166" s="6">
        <f t="shared" si="29"/>
        <v>-211936.79458062939</v>
      </c>
      <c r="G166" s="6">
        <f t="shared" si="28"/>
        <v>-408474.39825865923</v>
      </c>
      <c r="H166" s="6">
        <f t="shared" si="23"/>
        <v>-4163.833508988514</v>
      </c>
      <c r="I166" s="6">
        <f t="shared" si="24"/>
        <v>1288063.2054193707</v>
      </c>
      <c r="J166" s="6" t="str">
        <f>IF(B166&lt;&gt;"",IF(AND(Input!$H$54="Annual",MOD(B166,12)=0),Input!$J$54,IF(AND(Input!$H$54="1st Installment",B166=1),Input!$J$54,IF(Input!$H$54="Monthly",Input!$J$54,""))),"")</f>
        <v/>
      </c>
      <c r="K166" s="6">
        <f>IF(B166&lt;&gt;"",IF(AND(Input!$H$55="Annual",MOD(B166,12)=0),Input!$J$55,IF(AND(Input!$H$55="1st Installment",B166=1),Input!$J$55,IF(Input!$H$55="Monthly",Input!$J$55,""))),"")</f>
        <v>0</v>
      </c>
      <c r="L166" s="6" t="str">
        <f>IF(B166&lt;&gt;"",IF(AND(Input!$H$56="Annual",MOD(B166,12)=0),Input!$J$56,IF(AND(Input!$H$56="1st Installment",B166=1),Input!$J$56,IF(Input!$H$56="Monthly",Input!$J$56,""))),"")</f>
        <v/>
      </c>
      <c r="M166" s="6" t="str">
        <f>IF(B166&lt;&gt;"",IF(AND(Input!$H$57="Annual",MOD(B166,12)=0),Input!$J$57,IF(AND(Input!$H$57="1st Installment",B166=1),Input!$J$57,IF(Input!$H$57="Monthly",Input!$J$57,""))),"")</f>
        <v/>
      </c>
      <c r="N166" s="6" t="str">
        <f>IF(B166&lt;&gt;"",IF(AND(Input!$H$58="Annual",MOD(B166,12)=0),Input!$J$58,IF(AND(Input!$H$58="1st Installment",B166=1),Input!$J$58,IF(Input!$H$58="Monthly",Input!$J$58,IF(AND(Input!$H$58="End of the loan",B166=Input!$E$58),Input!$J$58,"")))),"")</f>
        <v/>
      </c>
      <c r="O166" s="6">
        <f t="shared" si="20"/>
        <v>0</v>
      </c>
      <c r="P166" s="4">
        <f t="shared" si="21"/>
        <v>4163.833508988514</v>
      </c>
      <c r="T166" s="9">
        <f t="shared" si="22"/>
        <v>49089</v>
      </c>
      <c r="U166" s="5">
        <f t="shared" si="25"/>
        <v>4163.83</v>
      </c>
    </row>
    <row r="167" spans="2:21">
      <c r="B167" s="16">
        <f t="shared" si="26"/>
        <v>150</v>
      </c>
      <c r="C167" s="9">
        <f t="shared" si="27"/>
        <v>49120</v>
      </c>
      <c r="D167" s="6">
        <f>IFERROR((PPMT(Input!$E$55/12,B167,$C$6,Input!$E$54,-Input!$E$65,0))," ")</f>
        <v>-1641.3763983755794</v>
      </c>
      <c r="E167" s="6">
        <f>IFERROR(((IPMT(Input!$E$55/12,B167,$C$6,Input!$E$54,-Input!$E$65,0)))," ")</f>
        <v>-2522.4571106129347</v>
      </c>
      <c r="F167" s="6">
        <f t="shared" si="29"/>
        <v>-213578.17097900496</v>
      </c>
      <c r="G167" s="6">
        <f t="shared" si="28"/>
        <v>-410996.85536927218</v>
      </c>
      <c r="H167" s="6">
        <f t="shared" si="23"/>
        <v>-4163.833508988514</v>
      </c>
      <c r="I167" s="6">
        <f t="shared" si="24"/>
        <v>1286421.8290209949</v>
      </c>
      <c r="J167" s="6" t="str">
        <f>IF(B167&lt;&gt;"",IF(AND(Input!$H$54="Annual",MOD(B167,12)=0),Input!$J$54,IF(AND(Input!$H$54="1st Installment",B167=1),Input!$J$54,IF(Input!$H$54="Monthly",Input!$J$54,""))),"")</f>
        <v/>
      </c>
      <c r="K167" s="6">
        <f>IF(B167&lt;&gt;"",IF(AND(Input!$H$55="Annual",MOD(B167,12)=0),Input!$J$55,IF(AND(Input!$H$55="1st Installment",B167=1),Input!$J$55,IF(Input!$H$55="Monthly",Input!$J$55,""))),"")</f>
        <v>0</v>
      </c>
      <c r="L167" s="6" t="str">
        <f>IF(B167&lt;&gt;"",IF(AND(Input!$H$56="Annual",MOD(B167,12)=0),Input!$J$56,IF(AND(Input!$H$56="1st Installment",B167=1),Input!$J$56,IF(Input!$H$56="Monthly",Input!$J$56,""))),"")</f>
        <v/>
      </c>
      <c r="M167" s="6" t="str">
        <f>IF(B167&lt;&gt;"",IF(AND(Input!$H$57="Annual",MOD(B167,12)=0),Input!$J$57,IF(AND(Input!$H$57="1st Installment",B167=1),Input!$J$57,IF(Input!$H$57="Monthly",Input!$J$57,""))),"")</f>
        <v/>
      </c>
      <c r="N167" s="6" t="str">
        <f>IF(B167&lt;&gt;"",IF(AND(Input!$H$58="Annual",MOD(B167,12)=0),Input!$J$58,IF(AND(Input!$H$58="1st Installment",B167=1),Input!$J$58,IF(Input!$H$58="Monthly",Input!$J$58,IF(AND(Input!$H$58="End of the loan",B167=Input!$E$58),Input!$J$58,"")))),"")</f>
        <v/>
      </c>
      <c r="O167" s="6">
        <f t="shared" si="20"/>
        <v>0</v>
      </c>
      <c r="P167" s="4">
        <f t="shared" si="21"/>
        <v>4163.833508988514</v>
      </c>
      <c r="T167" s="9">
        <f t="shared" si="22"/>
        <v>49120</v>
      </c>
      <c r="U167" s="5">
        <f t="shared" si="25"/>
        <v>4163.83</v>
      </c>
    </row>
    <row r="168" spans="2:21">
      <c r="B168" s="16">
        <f t="shared" si="26"/>
        <v>151</v>
      </c>
      <c r="C168" s="9">
        <f t="shared" si="27"/>
        <v>49150</v>
      </c>
      <c r="D168" s="6">
        <f>IFERROR((PPMT(Input!$E$55/12,B168,$C$6,Input!$E$54,-Input!$E$65,0))," ")</f>
        <v>-1644.5907604890647</v>
      </c>
      <c r="E168" s="6">
        <f>IFERROR(((IPMT(Input!$E$55/12,B168,$C$6,Input!$E$54,-Input!$E$65,0)))," ")</f>
        <v>-2519.2427484994487</v>
      </c>
      <c r="F168" s="6">
        <f t="shared" si="29"/>
        <v>-215222.76173949402</v>
      </c>
      <c r="G168" s="6">
        <f t="shared" si="28"/>
        <v>-413516.09811777162</v>
      </c>
      <c r="H168" s="6">
        <f t="shared" si="23"/>
        <v>-4163.8335089885131</v>
      </c>
      <c r="I168" s="6">
        <f t="shared" si="24"/>
        <v>1284777.238260506</v>
      </c>
      <c r="J168" s="6" t="str">
        <f>IF(B168&lt;&gt;"",IF(AND(Input!$H$54="Annual",MOD(B168,12)=0),Input!$J$54,IF(AND(Input!$H$54="1st Installment",B168=1),Input!$J$54,IF(Input!$H$54="Monthly",Input!$J$54,""))),"")</f>
        <v/>
      </c>
      <c r="K168" s="6">
        <f>IF(B168&lt;&gt;"",IF(AND(Input!$H$55="Annual",MOD(B168,12)=0),Input!$J$55,IF(AND(Input!$H$55="1st Installment",B168=1),Input!$J$55,IF(Input!$H$55="Monthly",Input!$J$55,""))),"")</f>
        <v>0</v>
      </c>
      <c r="L168" s="6" t="str">
        <f>IF(B168&lt;&gt;"",IF(AND(Input!$H$56="Annual",MOD(B168,12)=0),Input!$J$56,IF(AND(Input!$H$56="1st Installment",B168=1),Input!$J$56,IF(Input!$H$56="Monthly",Input!$J$56,""))),"")</f>
        <v/>
      </c>
      <c r="M168" s="6" t="str">
        <f>IF(B168&lt;&gt;"",IF(AND(Input!$H$57="Annual",MOD(B168,12)=0),Input!$J$57,IF(AND(Input!$H$57="1st Installment",B168=1),Input!$J$57,IF(Input!$H$57="Monthly",Input!$J$57,""))),"")</f>
        <v/>
      </c>
      <c r="N168" s="6" t="str">
        <f>IF(B168&lt;&gt;"",IF(AND(Input!$H$58="Annual",MOD(B168,12)=0),Input!$J$58,IF(AND(Input!$H$58="1st Installment",B168=1),Input!$J$58,IF(Input!$H$58="Monthly",Input!$J$58,IF(AND(Input!$H$58="End of the loan",B168=Input!$E$58),Input!$J$58,"")))),"")</f>
        <v/>
      </c>
      <c r="O168" s="6">
        <f t="shared" si="20"/>
        <v>0</v>
      </c>
      <c r="P168" s="4">
        <f t="shared" si="21"/>
        <v>4163.8335089885131</v>
      </c>
      <c r="T168" s="9">
        <f t="shared" si="22"/>
        <v>49150</v>
      </c>
      <c r="U168" s="5">
        <f t="shared" si="25"/>
        <v>4163.83</v>
      </c>
    </row>
    <row r="169" spans="2:21">
      <c r="B169" s="16">
        <f t="shared" si="26"/>
        <v>152</v>
      </c>
      <c r="C169" s="9">
        <f t="shared" si="27"/>
        <v>49181</v>
      </c>
      <c r="D169" s="6">
        <f>IFERROR((PPMT(Input!$E$55/12,B169,$C$6,Input!$E$54,-Input!$E$65,0))," ")</f>
        <v>-1647.8114173950228</v>
      </c>
      <c r="E169" s="6">
        <f>IFERROR(((IPMT(Input!$E$55/12,B169,$C$6,Input!$E$54,-Input!$E$65,0)))," ")</f>
        <v>-2516.022091593491</v>
      </c>
      <c r="F169" s="6">
        <f t="shared" si="29"/>
        <v>-216870.57315688903</v>
      </c>
      <c r="G169" s="6">
        <f t="shared" si="28"/>
        <v>-416032.12020936509</v>
      </c>
      <c r="H169" s="6">
        <f t="shared" si="23"/>
        <v>-4163.833508988514</v>
      </c>
      <c r="I169" s="6">
        <f t="shared" si="24"/>
        <v>1283129.4268431109</v>
      </c>
      <c r="J169" s="6" t="str">
        <f>IF(B169&lt;&gt;"",IF(AND(Input!$H$54="Annual",MOD(B169,12)=0),Input!$J$54,IF(AND(Input!$H$54="1st Installment",B169=1),Input!$J$54,IF(Input!$H$54="Monthly",Input!$J$54,""))),"")</f>
        <v/>
      </c>
      <c r="K169" s="6">
        <f>IF(B169&lt;&gt;"",IF(AND(Input!$H$55="Annual",MOD(B169,12)=0),Input!$J$55,IF(AND(Input!$H$55="1st Installment",B169=1),Input!$J$55,IF(Input!$H$55="Monthly",Input!$J$55,""))),"")</f>
        <v>0</v>
      </c>
      <c r="L169" s="6" t="str">
        <f>IF(B169&lt;&gt;"",IF(AND(Input!$H$56="Annual",MOD(B169,12)=0),Input!$J$56,IF(AND(Input!$H$56="1st Installment",B169=1),Input!$J$56,IF(Input!$H$56="Monthly",Input!$J$56,""))),"")</f>
        <v/>
      </c>
      <c r="M169" s="6" t="str">
        <f>IF(B169&lt;&gt;"",IF(AND(Input!$H$57="Annual",MOD(B169,12)=0),Input!$J$57,IF(AND(Input!$H$57="1st Installment",B169=1),Input!$J$57,IF(Input!$H$57="Monthly",Input!$J$57,""))),"")</f>
        <v/>
      </c>
      <c r="N169" s="6" t="str">
        <f>IF(B169&lt;&gt;"",IF(AND(Input!$H$58="Annual",MOD(B169,12)=0),Input!$J$58,IF(AND(Input!$H$58="1st Installment",B169=1),Input!$J$58,IF(Input!$H$58="Monthly",Input!$J$58,IF(AND(Input!$H$58="End of the loan",B169=Input!$E$58),Input!$J$58,"")))),"")</f>
        <v/>
      </c>
      <c r="O169" s="6">
        <f t="shared" si="20"/>
        <v>0</v>
      </c>
      <c r="P169" s="4">
        <f t="shared" si="21"/>
        <v>4163.833508988514</v>
      </c>
      <c r="T169" s="9">
        <f t="shared" si="22"/>
        <v>49181</v>
      </c>
      <c r="U169" s="5">
        <f t="shared" si="25"/>
        <v>4163.83</v>
      </c>
    </row>
    <row r="170" spans="2:21">
      <c r="B170" s="16">
        <f t="shared" si="26"/>
        <v>153</v>
      </c>
      <c r="C170" s="9">
        <f t="shared" si="27"/>
        <v>49212</v>
      </c>
      <c r="D170" s="6">
        <f>IFERROR((PPMT(Input!$E$55/12,B170,$C$6,Input!$E$54,-Input!$E$65,0))," ")</f>
        <v>-1651.0383814207546</v>
      </c>
      <c r="E170" s="6">
        <f>IFERROR(((IPMT(Input!$E$55/12,B170,$C$6,Input!$E$54,-Input!$E$65,0)))," ")</f>
        <v>-2512.7951275677592</v>
      </c>
      <c r="F170" s="6">
        <f t="shared" si="29"/>
        <v>-218521.61153830978</v>
      </c>
      <c r="G170" s="6">
        <f t="shared" si="28"/>
        <v>-418544.91533693287</v>
      </c>
      <c r="H170" s="6">
        <f t="shared" si="23"/>
        <v>-4163.833508988514</v>
      </c>
      <c r="I170" s="6">
        <f t="shared" si="24"/>
        <v>1281478.3884616902</v>
      </c>
      <c r="J170" s="6" t="str">
        <f>IF(B170&lt;&gt;"",IF(AND(Input!$H$54="Annual",MOD(B170,12)=0),Input!$J$54,IF(AND(Input!$H$54="1st Installment",B170=1),Input!$J$54,IF(Input!$H$54="Monthly",Input!$J$54,""))),"")</f>
        <v/>
      </c>
      <c r="K170" s="6">
        <f>IF(B170&lt;&gt;"",IF(AND(Input!$H$55="Annual",MOD(B170,12)=0),Input!$J$55,IF(AND(Input!$H$55="1st Installment",B170=1),Input!$J$55,IF(Input!$H$55="Monthly",Input!$J$55,""))),"")</f>
        <v>0</v>
      </c>
      <c r="L170" s="6" t="str">
        <f>IF(B170&lt;&gt;"",IF(AND(Input!$H$56="Annual",MOD(B170,12)=0),Input!$J$56,IF(AND(Input!$H$56="1st Installment",B170=1),Input!$J$56,IF(Input!$H$56="Monthly",Input!$J$56,""))),"")</f>
        <v/>
      </c>
      <c r="M170" s="6" t="str">
        <f>IF(B170&lt;&gt;"",IF(AND(Input!$H$57="Annual",MOD(B170,12)=0),Input!$J$57,IF(AND(Input!$H$57="1st Installment",B170=1),Input!$J$57,IF(Input!$H$57="Monthly",Input!$J$57,""))),"")</f>
        <v/>
      </c>
      <c r="N170" s="6" t="str">
        <f>IF(B170&lt;&gt;"",IF(AND(Input!$H$58="Annual",MOD(B170,12)=0),Input!$J$58,IF(AND(Input!$H$58="1st Installment",B170=1),Input!$J$58,IF(Input!$H$58="Monthly",Input!$J$58,IF(AND(Input!$H$58="End of the loan",B170=Input!$E$58),Input!$J$58,"")))),"")</f>
        <v/>
      </c>
      <c r="O170" s="6">
        <f t="shared" si="20"/>
        <v>0</v>
      </c>
      <c r="P170" s="4">
        <f t="shared" si="21"/>
        <v>4163.833508988514</v>
      </c>
      <c r="T170" s="9">
        <f t="shared" si="22"/>
        <v>49212</v>
      </c>
      <c r="U170" s="5">
        <f t="shared" si="25"/>
        <v>4163.83</v>
      </c>
    </row>
    <row r="171" spans="2:21">
      <c r="B171" s="16">
        <f t="shared" si="26"/>
        <v>154</v>
      </c>
      <c r="C171" s="9">
        <f t="shared" si="27"/>
        <v>49242</v>
      </c>
      <c r="D171" s="6">
        <f>IFERROR((PPMT(Input!$E$55/12,B171,$C$6,Input!$E$54,-Input!$E$65,0))," ")</f>
        <v>-1654.2716649177034</v>
      </c>
      <c r="E171" s="6">
        <f>IFERROR(((IPMT(Input!$E$55/12,B171,$C$6,Input!$E$54,-Input!$E$65,0)))," ")</f>
        <v>-2509.5618440708104</v>
      </c>
      <c r="F171" s="6">
        <f t="shared" si="29"/>
        <v>-220175.88320322748</v>
      </c>
      <c r="G171" s="6">
        <f t="shared" si="28"/>
        <v>-421054.47718100366</v>
      </c>
      <c r="H171" s="6">
        <f t="shared" si="23"/>
        <v>-4163.833508988514</v>
      </c>
      <c r="I171" s="6">
        <f t="shared" si="24"/>
        <v>1279824.1167967725</v>
      </c>
      <c r="J171" s="6" t="str">
        <f>IF(B171&lt;&gt;"",IF(AND(Input!$H$54="Annual",MOD(B171,12)=0),Input!$J$54,IF(AND(Input!$H$54="1st Installment",B171=1),Input!$J$54,IF(Input!$H$54="Monthly",Input!$J$54,""))),"")</f>
        <v/>
      </c>
      <c r="K171" s="6">
        <f>IF(B171&lt;&gt;"",IF(AND(Input!$H$55="Annual",MOD(B171,12)=0),Input!$J$55,IF(AND(Input!$H$55="1st Installment",B171=1),Input!$J$55,IF(Input!$H$55="Monthly",Input!$J$55,""))),"")</f>
        <v>0</v>
      </c>
      <c r="L171" s="6" t="str">
        <f>IF(B171&lt;&gt;"",IF(AND(Input!$H$56="Annual",MOD(B171,12)=0),Input!$J$56,IF(AND(Input!$H$56="1st Installment",B171=1),Input!$J$56,IF(Input!$H$56="Monthly",Input!$J$56,""))),"")</f>
        <v/>
      </c>
      <c r="M171" s="6" t="str">
        <f>IF(B171&lt;&gt;"",IF(AND(Input!$H$57="Annual",MOD(B171,12)=0),Input!$J$57,IF(AND(Input!$H$57="1st Installment",B171=1),Input!$J$57,IF(Input!$H$57="Monthly",Input!$J$57,""))),"")</f>
        <v/>
      </c>
      <c r="N171" s="6" t="str">
        <f>IF(B171&lt;&gt;"",IF(AND(Input!$H$58="Annual",MOD(B171,12)=0),Input!$J$58,IF(AND(Input!$H$58="1st Installment",B171=1),Input!$J$58,IF(Input!$H$58="Monthly",Input!$J$58,IF(AND(Input!$H$58="End of the loan",B171=Input!$E$58),Input!$J$58,"")))),"")</f>
        <v/>
      </c>
      <c r="O171" s="6">
        <f t="shared" si="20"/>
        <v>0</v>
      </c>
      <c r="P171" s="4">
        <f t="shared" si="21"/>
        <v>4163.833508988514</v>
      </c>
      <c r="T171" s="9">
        <f t="shared" si="22"/>
        <v>49242</v>
      </c>
      <c r="U171" s="5">
        <f t="shared" si="25"/>
        <v>4163.83</v>
      </c>
    </row>
    <row r="172" spans="2:21">
      <c r="B172" s="16">
        <f t="shared" si="26"/>
        <v>155</v>
      </c>
      <c r="C172" s="9">
        <f t="shared" si="27"/>
        <v>49273</v>
      </c>
      <c r="D172" s="6">
        <f>IFERROR((PPMT(Input!$E$55/12,B172,$C$6,Input!$E$54,-Input!$E$65,0))," ")</f>
        <v>-1657.5112802615006</v>
      </c>
      <c r="E172" s="6">
        <f>IFERROR(((IPMT(Input!$E$55/12,B172,$C$6,Input!$E$54,-Input!$E$65,0)))," ")</f>
        <v>-2506.3222287270132</v>
      </c>
      <c r="F172" s="6">
        <f t="shared" si="29"/>
        <v>-221833.39448348898</v>
      </c>
      <c r="G172" s="6">
        <f t="shared" si="28"/>
        <v>-423560.79940973065</v>
      </c>
      <c r="H172" s="6">
        <f t="shared" si="23"/>
        <v>-4163.833508988514</v>
      </c>
      <c r="I172" s="6">
        <f t="shared" si="24"/>
        <v>1278166.605516511</v>
      </c>
      <c r="J172" s="6" t="str">
        <f>IF(B172&lt;&gt;"",IF(AND(Input!$H$54="Annual",MOD(B172,12)=0),Input!$J$54,IF(AND(Input!$H$54="1st Installment",B172=1),Input!$J$54,IF(Input!$H$54="Monthly",Input!$J$54,""))),"")</f>
        <v/>
      </c>
      <c r="K172" s="6">
        <f>IF(B172&lt;&gt;"",IF(AND(Input!$H$55="Annual",MOD(B172,12)=0),Input!$J$55,IF(AND(Input!$H$55="1st Installment",B172=1),Input!$J$55,IF(Input!$H$55="Monthly",Input!$J$55,""))),"")</f>
        <v>0</v>
      </c>
      <c r="L172" s="6" t="str">
        <f>IF(B172&lt;&gt;"",IF(AND(Input!$H$56="Annual",MOD(B172,12)=0),Input!$J$56,IF(AND(Input!$H$56="1st Installment",B172=1),Input!$J$56,IF(Input!$H$56="Monthly",Input!$J$56,""))),"")</f>
        <v/>
      </c>
      <c r="M172" s="6" t="str">
        <f>IF(B172&lt;&gt;"",IF(AND(Input!$H$57="Annual",MOD(B172,12)=0),Input!$J$57,IF(AND(Input!$H$57="1st Installment",B172=1),Input!$J$57,IF(Input!$H$57="Monthly",Input!$J$57,""))),"")</f>
        <v/>
      </c>
      <c r="N172" s="6" t="str">
        <f>IF(B172&lt;&gt;"",IF(AND(Input!$H$58="Annual",MOD(B172,12)=0),Input!$J$58,IF(AND(Input!$H$58="1st Installment",B172=1),Input!$J$58,IF(Input!$H$58="Monthly",Input!$J$58,IF(AND(Input!$H$58="End of the loan",B172=Input!$E$58),Input!$J$58,"")))),"")</f>
        <v/>
      </c>
      <c r="O172" s="6">
        <f t="shared" si="20"/>
        <v>0</v>
      </c>
      <c r="P172" s="4">
        <f t="shared" si="21"/>
        <v>4163.833508988514</v>
      </c>
      <c r="T172" s="9">
        <f t="shared" si="22"/>
        <v>49273</v>
      </c>
      <c r="U172" s="5">
        <f t="shared" si="25"/>
        <v>4163.83</v>
      </c>
    </row>
    <row r="173" spans="2:21">
      <c r="B173" s="16">
        <f t="shared" si="26"/>
        <v>156</v>
      </c>
      <c r="C173" s="9">
        <f t="shared" si="27"/>
        <v>49303</v>
      </c>
      <c r="D173" s="6">
        <f>IFERROR((PPMT(Input!$E$55/12,B173,$C$6,Input!$E$54,-Input!$E$65,0))," ")</f>
        <v>-1660.7572398520126</v>
      </c>
      <c r="E173" s="6">
        <f>IFERROR(((IPMT(Input!$E$55/12,B173,$C$6,Input!$E$54,-Input!$E$65,0)))," ")</f>
        <v>-2503.0762691365012</v>
      </c>
      <c r="F173" s="6">
        <f t="shared" si="29"/>
        <v>-223494.151723341</v>
      </c>
      <c r="G173" s="6">
        <f t="shared" si="28"/>
        <v>-426063.87567886716</v>
      </c>
      <c r="H173" s="6">
        <f t="shared" si="23"/>
        <v>-4163.833508988514</v>
      </c>
      <c r="I173" s="6">
        <f t="shared" si="24"/>
        <v>1276505.8482766589</v>
      </c>
      <c r="J173" s="6" t="str">
        <f>IF(B173&lt;&gt;"",IF(AND(Input!$H$54="Annual",MOD(B173,12)=0),Input!$J$54,IF(AND(Input!$H$54="1st Installment",B173=1),Input!$J$54,IF(Input!$H$54="Monthly",Input!$J$54,""))),"")</f>
        <v/>
      </c>
      <c r="K173" s="6">
        <f>IF(B173&lt;&gt;"",IF(AND(Input!$H$55="Annual",MOD(B173,12)=0),Input!$J$55,IF(AND(Input!$H$55="1st Installment",B173=1),Input!$J$55,IF(Input!$H$55="Monthly",Input!$J$55,""))),"")</f>
        <v>0</v>
      </c>
      <c r="L173" s="6" t="str">
        <f>IF(B173&lt;&gt;"",IF(AND(Input!$H$56="Annual",MOD(B173,12)=0),Input!$J$56,IF(AND(Input!$H$56="1st Installment",B173=1),Input!$J$56,IF(Input!$H$56="Monthly",Input!$J$56,""))),"")</f>
        <v/>
      </c>
      <c r="M173" s="6" t="str">
        <f>IF(B173&lt;&gt;"",IF(AND(Input!$H$57="Annual",MOD(B173,12)=0),Input!$J$57,IF(AND(Input!$H$57="1st Installment",B173=1),Input!$J$57,IF(Input!$H$57="Monthly",Input!$J$57,""))),"")</f>
        <v/>
      </c>
      <c r="N173" s="6" t="str">
        <f>IF(B173&lt;&gt;"",IF(AND(Input!$H$58="Annual",MOD(B173,12)=0),Input!$J$58,IF(AND(Input!$H$58="1st Installment",B173=1),Input!$J$58,IF(Input!$H$58="Monthly",Input!$J$58,IF(AND(Input!$H$58="End of the loan",B173=Input!$E$58),Input!$J$58,"")))),"")</f>
        <v/>
      </c>
      <c r="O173" s="6">
        <f t="shared" si="20"/>
        <v>0</v>
      </c>
      <c r="P173" s="4">
        <f t="shared" si="21"/>
        <v>4163.833508988514</v>
      </c>
      <c r="T173" s="9">
        <f t="shared" si="22"/>
        <v>49303</v>
      </c>
      <c r="U173" s="5">
        <f t="shared" si="25"/>
        <v>4163.83</v>
      </c>
    </row>
    <row r="174" spans="2:21">
      <c r="B174" s="16">
        <f t="shared" si="26"/>
        <v>157</v>
      </c>
      <c r="C174" s="9">
        <f t="shared" si="27"/>
        <v>49334</v>
      </c>
      <c r="D174" s="6">
        <f>IFERROR((PPMT(Input!$E$55/12,B174,$C$6,Input!$E$54,-Input!$E$65,0))," ")</f>
        <v>-1664.0095561133896</v>
      </c>
      <c r="E174" s="6">
        <f>IFERROR(((IPMT(Input!$E$55/12,B174,$C$6,Input!$E$54,-Input!$E$65,0)))," ")</f>
        <v>-2499.8239528751242</v>
      </c>
      <c r="F174" s="6">
        <f t="shared" si="29"/>
        <v>-225158.16127945439</v>
      </c>
      <c r="G174" s="6">
        <f t="shared" si="28"/>
        <v>-428563.69963174226</v>
      </c>
      <c r="H174" s="6">
        <f t="shared" si="23"/>
        <v>-4163.833508988514</v>
      </c>
      <c r="I174" s="6">
        <f t="shared" si="24"/>
        <v>1274841.8387205456</v>
      </c>
      <c r="J174" s="6" t="str">
        <f>IF(B174&lt;&gt;"",IF(AND(Input!$H$54="Annual",MOD(B174,12)=0),Input!$J$54,IF(AND(Input!$H$54="1st Installment",B174=1),Input!$J$54,IF(Input!$H$54="Monthly",Input!$J$54,""))),"")</f>
        <v/>
      </c>
      <c r="K174" s="6">
        <f>IF(B174&lt;&gt;"",IF(AND(Input!$H$55="Annual",MOD(B174,12)=0),Input!$J$55,IF(AND(Input!$H$55="1st Installment",B174=1),Input!$J$55,IF(Input!$H$55="Monthly",Input!$J$55,""))),"")</f>
        <v>0</v>
      </c>
      <c r="L174" s="6" t="str">
        <f>IF(B174&lt;&gt;"",IF(AND(Input!$H$56="Annual",MOD(B174,12)=0),Input!$J$56,IF(AND(Input!$H$56="1st Installment",B174=1),Input!$J$56,IF(Input!$H$56="Monthly",Input!$J$56,""))),"")</f>
        <v/>
      </c>
      <c r="M174" s="6" t="str">
        <f>IF(B174&lt;&gt;"",IF(AND(Input!$H$57="Annual",MOD(B174,12)=0),Input!$J$57,IF(AND(Input!$H$57="1st Installment",B174=1),Input!$J$57,IF(Input!$H$57="Monthly",Input!$J$57,""))),"")</f>
        <v/>
      </c>
      <c r="N174" s="6" t="str">
        <f>IF(B174&lt;&gt;"",IF(AND(Input!$H$58="Annual",MOD(B174,12)=0),Input!$J$58,IF(AND(Input!$H$58="1st Installment",B174=1),Input!$J$58,IF(Input!$H$58="Monthly",Input!$J$58,IF(AND(Input!$H$58="End of the loan",B174=Input!$E$58),Input!$J$58,"")))),"")</f>
        <v/>
      </c>
      <c r="O174" s="6">
        <f t="shared" si="20"/>
        <v>0</v>
      </c>
      <c r="P174" s="4">
        <f t="shared" si="21"/>
        <v>4163.833508988514</v>
      </c>
      <c r="T174" s="9">
        <f t="shared" si="22"/>
        <v>49334</v>
      </c>
      <c r="U174" s="5">
        <f t="shared" si="25"/>
        <v>4163.83</v>
      </c>
    </row>
    <row r="175" spans="2:21">
      <c r="B175" s="16">
        <f t="shared" si="26"/>
        <v>158</v>
      </c>
      <c r="C175" s="9">
        <f t="shared" si="27"/>
        <v>49365</v>
      </c>
      <c r="D175" s="6">
        <f>IFERROR((PPMT(Input!$E$55/12,B175,$C$6,Input!$E$54,-Input!$E$65,0))," ")</f>
        <v>-1667.2682414941119</v>
      </c>
      <c r="E175" s="6">
        <f>IFERROR(((IPMT(Input!$E$55/12,B175,$C$6,Input!$E$54,-Input!$E$65,0)))," ")</f>
        <v>-2496.5652674944022</v>
      </c>
      <c r="F175" s="6">
        <f t="shared" si="29"/>
        <v>-226825.4295209485</v>
      </c>
      <c r="G175" s="6">
        <f t="shared" si="28"/>
        <v>-431060.26489923667</v>
      </c>
      <c r="H175" s="6">
        <f t="shared" si="23"/>
        <v>-4163.833508988514</v>
      </c>
      <c r="I175" s="6">
        <f t="shared" si="24"/>
        <v>1273174.5704790514</v>
      </c>
      <c r="J175" s="6" t="str">
        <f>IF(B175&lt;&gt;"",IF(AND(Input!$H$54="Annual",MOD(B175,12)=0),Input!$J$54,IF(AND(Input!$H$54="1st Installment",B175=1),Input!$J$54,IF(Input!$H$54="Monthly",Input!$J$54,""))),"")</f>
        <v/>
      </c>
      <c r="K175" s="6">
        <f>IF(B175&lt;&gt;"",IF(AND(Input!$H$55="Annual",MOD(B175,12)=0),Input!$J$55,IF(AND(Input!$H$55="1st Installment",B175=1),Input!$J$55,IF(Input!$H$55="Monthly",Input!$J$55,""))),"")</f>
        <v>0</v>
      </c>
      <c r="L175" s="6" t="str">
        <f>IF(B175&lt;&gt;"",IF(AND(Input!$H$56="Annual",MOD(B175,12)=0),Input!$J$56,IF(AND(Input!$H$56="1st Installment",B175=1),Input!$J$56,IF(Input!$H$56="Monthly",Input!$J$56,""))),"")</f>
        <v/>
      </c>
      <c r="M175" s="6" t="str">
        <f>IF(B175&lt;&gt;"",IF(AND(Input!$H$57="Annual",MOD(B175,12)=0),Input!$J$57,IF(AND(Input!$H$57="1st Installment",B175=1),Input!$J$57,IF(Input!$H$57="Monthly",Input!$J$57,""))),"")</f>
        <v/>
      </c>
      <c r="N175" s="6" t="str">
        <f>IF(B175&lt;&gt;"",IF(AND(Input!$H$58="Annual",MOD(B175,12)=0),Input!$J$58,IF(AND(Input!$H$58="1st Installment",B175=1),Input!$J$58,IF(Input!$H$58="Monthly",Input!$J$58,IF(AND(Input!$H$58="End of the loan",B175=Input!$E$58),Input!$J$58,"")))),"")</f>
        <v/>
      </c>
      <c r="O175" s="6">
        <f t="shared" si="20"/>
        <v>0</v>
      </c>
      <c r="P175" s="4">
        <f t="shared" si="21"/>
        <v>4163.833508988514</v>
      </c>
      <c r="T175" s="9">
        <f t="shared" si="22"/>
        <v>49365</v>
      </c>
      <c r="U175" s="5">
        <f t="shared" si="25"/>
        <v>4163.83</v>
      </c>
    </row>
    <row r="176" spans="2:21">
      <c r="B176" s="16">
        <f t="shared" si="26"/>
        <v>159</v>
      </c>
      <c r="C176" s="9">
        <f t="shared" si="27"/>
        <v>49393</v>
      </c>
      <c r="D176" s="6">
        <f>IFERROR((PPMT(Input!$E$55/12,B176,$C$6,Input!$E$54,-Input!$E$65,0))," ")</f>
        <v>-1670.5333084670378</v>
      </c>
      <c r="E176" s="6">
        <f>IFERROR(((IPMT(Input!$E$55/12,B176,$C$6,Input!$E$54,-Input!$E$65,0)))," ")</f>
        <v>-2493.3002005214762</v>
      </c>
      <c r="F176" s="6">
        <f t="shared" si="29"/>
        <v>-228495.96282941554</v>
      </c>
      <c r="G176" s="6">
        <f t="shared" si="28"/>
        <v>-433553.56509975815</v>
      </c>
      <c r="H176" s="6">
        <f t="shared" si="23"/>
        <v>-4163.833508988514</v>
      </c>
      <c r="I176" s="6">
        <f t="shared" si="24"/>
        <v>1271504.0371705845</v>
      </c>
      <c r="J176" s="6" t="str">
        <f>IF(B176&lt;&gt;"",IF(AND(Input!$H$54="Annual",MOD(B176,12)=0),Input!$J$54,IF(AND(Input!$H$54="1st Installment",B176=1),Input!$J$54,IF(Input!$H$54="Monthly",Input!$J$54,""))),"")</f>
        <v/>
      </c>
      <c r="K176" s="6">
        <f>IF(B176&lt;&gt;"",IF(AND(Input!$H$55="Annual",MOD(B176,12)=0),Input!$J$55,IF(AND(Input!$H$55="1st Installment",B176=1),Input!$J$55,IF(Input!$H$55="Monthly",Input!$J$55,""))),"")</f>
        <v>0</v>
      </c>
      <c r="L176" s="6" t="str">
        <f>IF(B176&lt;&gt;"",IF(AND(Input!$H$56="Annual",MOD(B176,12)=0),Input!$J$56,IF(AND(Input!$H$56="1st Installment",B176=1),Input!$J$56,IF(Input!$H$56="Monthly",Input!$J$56,""))),"")</f>
        <v/>
      </c>
      <c r="M176" s="6" t="str">
        <f>IF(B176&lt;&gt;"",IF(AND(Input!$H$57="Annual",MOD(B176,12)=0),Input!$J$57,IF(AND(Input!$H$57="1st Installment",B176=1),Input!$J$57,IF(Input!$H$57="Monthly",Input!$J$57,""))),"")</f>
        <v/>
      </c>
      <c r="N176" s="6" t="str">
        <f>IF(B176&lt;&gt;"",IF(AND(Input!$H$58="Annual",MOD(B176,12)=0),Input!$J$58,IF(AND(Input!$H$58="1st Installment",B176=1),Input!$J$58,IF(Input!$H$58="Monthly",Input!$J$58,IF(AND(Input!$H$58="End of the loan",B176=Input!$E$58),Input!$J$58,"")))),"")</f>
        <v/>
      </c>
      <c r="O176" s="6">
        <f t="shared" si="20"/>
        <v>0</v>
      </c>
      <c r="P176" s="4">
        <f t="shared" si="21"/>
        <v>4163.833508988514</v>
      </c>
      <c r="T176" s="9">
        <f t="shared" si="22"/>
        <v>49393</v>
      </c>
      <c r="U176" s="5">
        <f t="shared" si="25"/>
        <v>4163.83</v>
      </c>
    </row>
    <row r="177" spans="2:21">
      <c r="B177" s="16">
        <f t="shared" si="26"/>
        <v>160</v>
      </c>
      <c r="C177" s="9">
        <f t="shared" si="27"/>
        <v>49424</v>
      </c>
      <c r="D177" s="6">
        <f>IFERROR((PPMT(Input!$E$55/12,B177,$C$6,Input!$E$54,-Input!$E$65,0))," ")</f>
        <v>-1673.8047695294524</v>
      </c>
      <c r="E177" s="6">
        <f>IFERROR(((IPMT(Input!$E$55/12,B177,$C$6,Input!$E$54,-Input!$E$65,0)))," ")</f>
        <v>-2490.0287394590614</v>
      </c>
      <c r="F177" s="6">
        <f t="shared" si="29"/>
        <v>-230169.76759894501</v>
      </c>
      <c r="G177" s="6">
        <f t="shared" si="28"/>
        <v>-436043.59383921721</v>
      </c>
      <c r="H177" s="6">
        <f t="shared" si="23"/>
        <v>-4163.833508988514</v>
      </c>
      <c r="I177" s="6">
        <f t="shared" si="24"/>
        <v>1269830.2324010551</v>
      </c>
      <c r="J177" s="6" t="str">
        <f>IF(B177&lt;&gt;"",IF(AND(Input!$H$54="Annual",MOD(B177,12)=0),Input!$J$54,IF(AND(Input!$H$54="1st Installment",B177=1),Input!$J$54,IF(Input!$H$54="Monthly",Input!$J$54,""))),"")</f>
        <v/>
      </c>
      <c r="K177" s="6">
        <f>IF(B177&lt;&gt;"",IF(AND(Input!$H$55="Annual",MOD(B177,12)=0),Input!$J$55,IF(AND(Input!$H$55="1st Installment",B177=1),Input!$J$55,IF(Input!$H$55="Monthly",Input!$J$55,""))),"")</f>
        <v>0</v>
      </c>
      <c r="L177" s="6" t="str">
        <f>IF(B177&lt;&gt;"",IF(AND(Input!$H$56="Annual",MOD(B177,12)=0),Input!$J$56,IF(AND(Input!$H$56="1st Installment",B177=1),Input!$J$56,IF(Input!$H$56="Monthly",Input!$J$56,""))),"")</f>
        <v/>
      </c>
      <c r="M177" s="6" t="str">
        <f>IF(B177&lt;&gt;"",IF(AND(Input!$H$57="Annual",MOD(B177,12)=0),Input!$J$57,IF(AND(Input!$H$57="1st Installment",B177=1),Input!$J$57,IF(Input!$H$57="Monthly",Input!$J$57,""))),"")</f>
        <v/>
      </c>
      <c r="N177" s="6" t="str">
        <f>IF(B177&lt;&gt;"",IF(AND(Input!$H$58="Annual",MOD(B177,12)=0),Input!$J$58,IF(AND(Input!$H$58="1st Installment",B177=1),Input!$J$58,IF(Input!$H$58="Monthly",Input!$J$58,IF(AND(Input!$H$58="End of the loan",B177=Input!$E$58),Input!$J$58,"")))),"")</f>
        <v/>
      </c>
      <c r="O177" s="6">
        <f t="shared" si="20"/>
        <v>0</v>
      </c>
      <c r="P177" s="4">
        <f t="shared" si="21"/>
        <v>4163.833508988514</v>
      </c>
      <c r="T177" s="9">
        <f t="shared" si="22"/>
        <v>49424</v>
      </c>
      <c r="U177" s="5">
        <f t="shared" si="25"/>
        <v>4163.83</v>
      </c>
    </row>
    <row r="178" spans="2:21">
      <c r="B178" s="16">
        <f t="shared" si="26"/>
        <v>161</v>
      </c>
      <c r="C178" s="9">
        <f t="shared" si="27"/>
        <v>49454</v>
      </c>
      <c r="D178" s="6">
        <f>IFERROR((PPMT(Input!$E$55/12,B178,$C$6,Input!$E$54,-Input!$E$65,0))," ")</f>
        <v>-1677.082637203114</v>
      </c>
      <c r="E178" s="6">
        <f>IFERROR(((IPMT(Input!$E$55/12,B178,$C$6,Input!$E$54,-Input!$E$65,0)))," ")</f>
        <v>-2486.7508717853998</v>
      </c>
      <c r="F178" s="6">
        <f t="shared" si="29"/>
        <v>-231846.85023614811</v>
      </c>
      <c r="G178" s="6">
        <f t="shared" si="28"/>
        <v>-438530.3447110026</v>
      </c>
      <c r="H178" s="6">
        <f t="shared" si="23"/>
        <v>-4163.833508988514</v>
      </c>
      <c r="I178" s="6">
        <f t="shared" si="24"/>
        <v>1268153.1497638519</v>
      </c>
      <c r="J178" s="6" t="str">
        <f>IF(B178&lt;&gt;"",IF(AND(Input!$H$54="Annual",MOD(B178,12)=0),Input!$J$54,IF(AND(Input!$H$54="1st Installment",B178=1),Input!$J$54,IF(Input!$H$54="Monthly",Input!$J$54,""))),"")</f>
        <v/>
      </c>
      <c r="K178" s="6">
        <f>IF(B178&lt;&gt;"",IF(AND(Input!$H$55="Annual",MOD(B178,12)=0),Input!$J$55,IF(AND(Input!$H$55="1st Installment",B178=1),Input!$J$55,IF(Input!$H$55="Monthly",Input!$J$55,""))),"")</f>
        <v>0</v>
      </c>
      <c r="L178" s="6" t="str">
        <f>IF(B178&lt;&gt;"",IF(AND(Input!$H$56="Annual",MOD(B178,12)=0),Input!$J$56,IF(AND(Input!$H$56="1st Installment",B178=1),Input!$J$56,IF(Input!$H$56="Monthly",Input!$J$56,""))),"")</f>
        <v/>
      </c>
      <c r="M178" s="6" t="str">
        <f>IF(B178&lt;&gt;"",IF(AND(Input!$H$57="Annual",MOD(B178,12)=0),Input!$J$57,IF(AND(Input!$H$57="1st Installment",B178=1),Input!$J$57,IF(Input!$H$57="Monthly",Input!$J$57,""))),"")</f>
        <v/>
      </c>
      <c r="N178" s="6" t="str">
        <f>IF(B178&lt;&gt;"",IF(AND(Input!$H$58="Annual",MOD(B178,12)=0),Input!$J$58,IF(AND(Input!$H$58="1st Installment",B178=1),Input!$J$58,IF(Input!$H$58="Monthly",Input!$J$58,IF(AND(Input!$H$58="End of the loan",B178=Input!$E$58),Input!$J$58,"")))),"")</f>
        <v/>
      </c>
      <c r="O178" s="6">
        <f t="shared" si="20"/>
        <v>0</v>
      </c>
      <c r="P178" s="4">
        <f t="shared" si="21"/>
        <v>4163.833508988514</v>
      </c>
      <c r="T178" s="9">
        <f t="shared" si="22"/>
        <v>49454</v>
      </c>
      <c r="U178" s="5">
        <f t="shared" si="25"/>
        <v>4163.83</v>
      </c>
    </row>
    <row r="179" spans="2:21">
      <c r="B179" s="16">
        <f t="shared" si="26"/>
        <v>162</v>
      </c>
      <c r="C179" s="9">
        <f t="shared" si="27"/>
        <v>49485</v>
      </c>
      <c r="D179" s="6">
        <f>IFERROR((PPMT(Input!$E$55/12,B179,$C$6,Input!$E$54,-Input!$E$65,0))," ")</f>
        <v>-1680.3669240343036</v>
      </c>
      <c r="E179" s="6">
        <f>IFERROR(((IPMT(Input!$E$55/12,B179,$C$6,Input!$E$54,-Input!$E$65,0)))," ")</f>
        <v>-2483.4665849542102</v>
      </c>
      <c r="F179" s="6">
        <f t="shared" si="29"/>
        <v>-233527.21716018242</v>
      </c>
      <c r="G179" s="6">
        <f t="shared" si="28"/>
        <v>-441013.81129595684</v>
      </c>
      <c r="H179" s="6">
        <f t="shared" si="23"/>
        <v>-4163.833508988514</v>
      </c>
      <c r="I179" s="6">
        <f t="shared" si="24"/>
        <v>1266472.7828398175</v>
      </c>
      <c r="J179" s="6" t="str">
        <f>IF(B179&lt;&gt;"",IF(AND(Input!$H$54="Annual",MOD(B179,12)=0),Input!$J$54,IF(AND(Input!$H$54="1st Installment",B179=1),Input!$J$54,IF(Input!$H$54="Monthly",Input!$J$54,""))),"")</f>
        <v/>
      </c>
      <c r="K179" s="6">
        <f>IF(B179&lt;&gt;"",IF(AND(Input!$H$55="Annual",MOD(B179,12)=0),Input!$J$55,IF(AND(Input!$H$55="1st Installment",B179=1),Input!$J$55,IF(Input!$H$55="Monthly",Input!$J$55,""))),"")</f>
        <v>0</v>
      </c>
      <c r="L179" s="6" t="str">
        <f>IF(B179&lt;&gt;"",IF(AND(Input!$H$56="Annual",MOD(B179,12)=0),Input!$J$56,IF(AND(Input!$H$56="1st Installment",B179=1),Input!$J$56,IF(Input!$H$56="Monthly",Input!$J$56,""))),"")</f>
        <v/>
      </c>
      <c r="M179" s="6" t="str">
        <f>IF(B179&lt;&gt;"",IF(AND(Input!$H$57="Annual",MOD(B179,12)=0),Input!$J$57,IF(AND(Input!$H$57="1st Installment",B179=1),Input!$J$57,IF(Input!$H$57="Monthly",Input!$J$57,""))),"")</f>
        <v/>
      </c>
      <c r="N179" s="6" t="str">
        <f>IF(B179&lt;&gt;"",IF(AND(Input!$H$58="Annual",MOD(B179,12)=0),Input!$J$58,IF(AND(Input!$H$58="1st Installment",B179=1),Input!$J$58,IF(Input!$H$58="Monthly",Input!$J$58,IF(AND(Input!$H$58="End of the loan",B179=Input!$E$58),Input!$J$58,"")))),"")</f>
        <v/>
      </c>
      <c r="O179" s="6">
        <f t="shared" si="20"/>
        <v>0</v>
      </c>
      <c r="P179" s="4">
        <f t="shared" si="21"/>
        <v>4163.833508988514</v>
      </c>
      <c r="T179" s="9">
        <f t="shared" si="22"/>
        <v>49485</v>
      </c>
      <c r="U179" s="5">
        <f t="shared" si="25"/>
        <v>4163.83</v>
      </c>
    </row>
    <row r="180" spans="2:21">
      <c r="B180" s="16">
        <f t="shared" si="26"/>
        <v>163</v>
      </c>
      <c r="C180" s="9">
        <f t="shared" si="27"/>
        <v>49515</v>
      </c>
      <c r="D180" s="6">
        <f>IFERROR((PPMT(Input!$E$55/12,B180,$C$6,Input!$E$54,-Input!$E$65,0))," ")</f>
        <v>-1683.6576425938708</v>
      </c>
      <c r="E180" s="6">
        <f>IFERROR(((IPMT(Input!$E$55/12,B180,$C$6,Input!$E$54,-Input!$E$65,0)))," ")</f>
        <v>-2480.175866394643</v>
      </c>
      <c r="F180" s="6">
        <f t="shared" si="29"/>
        <v>-235210.87480277629</v>
      </c>
      <c r="G180" s="6">
        <f t="shared" si="28"/>
        <v>-443493.98716235149</v>
      </c>
      <c r="H180" s="6">
        <f t="shared" si="23"/>
        <v>-4163.833508988514</v>
      </c>
      <c r="I180" s="6">
        <f t="shared" si="24"/>
        <v>1264789.1251972236</v>
      </c>
      <c r="J180" s="6" t="str">
        <f>IF(B180&lt;&gt;"",IF(AND(Input!$H$54="Annual",MOD(B180,12)=0),Input!$J$54,IF(AND(Input!$H$54="1st Installment",B180=1),Input!$J$54,IF(Input!$H$54="Monthly",Input!$J$54,""))),"")</f>
        <v/>
      </c>
      <c r="K180" s="6">
        <f>IF(B180&lt;&gt;"",IF(AND(Input!$H$55="Annual",MOD(B180,12)=0),Input!$J$55,IF(AND(Input!$H$55="1st Installment",B180=1),Input!$J$55,IF(Input!$H$55="Monthly",Input!$J$55,""))),"")</f>
        <v>0</v>
      </c>
      <c r="L180" s="6" t="str">
        <f>IF(B180&lt;&gt;"",IF(AND(Input!$H$56="Annual",MOD(B180,12)=0),Input!$J$56,IF(AND(Input!$H$56="1st Installment",B180=1),Input!$J$56,IF(Input!$H$56="Monthly",Input!$J$56,""))),"")</f>
        <v/>
      </c>
      <c r="M180" s="6" t="str">
        <f>IF(B180&lt;&gt;"",IF(AND(Input!$H$57="Annual",MOD(B180,12)=0),Input!$J$57,IF(AND(Input!$H$57="1st Installment",B180=1),Input!$J$57,IF(Input!$H$57="Monthly",Input!$J$57,""))),"")</f>
        <v/>
      </c>
      <c r="N180" s="6" t="str">
        <f>IF(B180&lt;&gt;"",IF(AND(Input!$H$58="Annual",MOD(B180,12)=0),Input!$J$58,IF(AND(Input!$H$58="1st Installment",B180=1),Input!$J$58,IF(Input!$H$58="Monthly",Input!$J$58,IF(AND(Input!$H$58="End of the loan",B180=Input!$E$58),Input!$J$58,"")))),"")</f>
        <v/>
      </c>
      <c r="O180" s="6">
        <f t="shared" si="20"/>
        <v>0</v>
      </c>
      <c r="P180" s="4">
        <f t="shared" si="21"/>
        <v>4163.833508988514</v>
      </c>
      <c r="T180" s="9">
        <f t="shared" si="22"/>
        <v>49515</v>
      </c>
      <c r="U180" s="5">
        <f t="shared" si="25"/>
        <v>4163.83</v>
      </c>
    </row>
    <row r="181" spans="2:21">
      <c r="B181" s="16">
        <f t="shared" si="26"/>
        <v>164</v>
      </c>
      <c r="C181" s="9">
        <f t="shared" si="27"/>
        <v>49546</v>
      </c>
      <c r="D181" s="6">
        <f>IFERROR((PPMT(Input!$E$55/12,B181,$C$6,Input!$E$54,-Input!$E$65,0))," ")</f>
        <v>-1686.9548054772836</v>
      </c>
      <c r="E181" s="6">
        <f>IFERROR(((IPMT(Input!$E$55/12,B181,$C$6,Input!$E$54,-Input!$E$65,0)))," ")</f>
        <v>-2476.87870351123</v>
      </c>
      <c r="F181" s="6">
        <f t="shared" si="29"/>
        <v>-236897.82960825358</v>
      </c>
      <c r="G181" s="6">
        <f t="shared" si="28"/>
        <v>-445970.8658658627</v>
      </c>
      <c r="H181" s="6">
        <f t="shared" si="23"/>
        <v>-4163.8335089885131</v>
      </c>
      <c r="I181" s="6">
        <f t="shared" si="24"/>
        <v>1263102.1703917463</v>
      </c>
      <c r="J181" s="6" t="str">
        <f>IF(B181&lt;&gt;"",IF(AND(Input!$H$54="Annual",MOD(B181,12)=0),Input!$J$54,IF(AND(Input!$H$54="1st Installment",B181=1),Input!$J$54,IF(Input!$H$54="Monthly",Input!$J$54,""))),"")</f>
        <v/>
      </c>
      <c r="K181" s="6">
        <f>IF(B181&lt;&gt;"",IF(AND(Input!$H$55="Annual",MOD(B181,12)=0),Input!$J$55,IF(AND(Input!$H$55="1st Installment",B181=1),Input!$J$55,IF(Input!$H$55="Monthly",Input!$J$55,""))),"")</f>
        <v>0</v>
      </c>
      <c r="L181" s="6" t="str">
        <f>IF(B181&lt;&gt;"",IF(AND(Input!$H$56="Annual",MOD(B181,12)=0),Input!$J$56,IF(AND(Input!$H$56="1st Installment",B181=1),Input!$J$56,IF(Input!$H$56="Monthly",Input!$J$56,""))),"")</f>
        <v/>
      </c>
      <c r="M181" s="6" t="str">
        <f>IF(B181&lt;&gt;"",IF(AND(Input!$H$57="Annual",MOD(B181,12)=0),Input!$J$57,IF(AND(Input!$H$57="1st Installment",B181=1),Input!$J$57,IF(Input!$H$57="Monthly",Input!$J$57,""))),"")</f>
        <v/>
      </c>
      <c r="N181" s="6" t="str">
        <f>IF(B181&lt;&gt;"",IF(AND(Input!$H$58="Annual",MOD(B181,12)=0),Input!$J$58,IF(AND(Input!$H$58="1st Installment",B181=1),Input!$J$58,IF(Input!$H$58="Monthly",Input!$J$58,IF(AND(Input!$H$58="End of the loan",B181=Input!$E$58),Input!$J$58,"")))),"")</f>
        <v/>
      </c>
      <c r="O181" s="6">
        <f t="shared" si="20"/>
        <v>0</v>
      </c>
      <c r="P181" s="4">
        <f t="shared" si="21"/>
        <v>4163.8335089885131</v>
      </c>
      <c r="T181" s="9">
        <f t="shared" si="22"/>
        <v>49546</v>
      </c>
      <c r="U181" s="5">
        <f t="shared" si="25"/>
        <v>4163.83</v>
      </c>
    </row>
    <row r="182" spans="2:21">
      <c r="B182" s="16">
        <f t="shared" si="26"/>
        <v>165</v>
      </c>
      <c r="C182" s="9">
        <f t="shared" si="27"/>
        <v>49577</v>
      </c>
      <c r="D182" s="6">
        <f>IFERROR((PPMT(Input!$E$55/12,B182,$C$6,Input!$E$54,-Input!$E$65,0))," ")</f>
        <v>-1690.2584253046768</v>
      </c>
      <c r="E182" s="6">
        <f>IFERROR(((IPMT(Input!$E$55/12,B182,$C$6,Input!$E$54,-Input!$E$65,0)))," ")</f>
        <v>-2473.575083683837</v>
      </c>
      <c r="F182" s="6">
        <f t="shared" si="29"/>
        <v>-238588.08803355825</v>
      </c>
      <c r="G182" s="6">
        <f t="shared" si="28"/>
        <v>-448444.44094954652</v>
      </c>
      <c r="H182" s="6">
        <f t="shared" si="23"/>
        <v>-4163.833508988514</v>
      </c>
      <c r="I182" s="6">
        <f t="shared" si="24"/>
        <v>1261411.9119664417</v>
      </c>
      <c r="J182" s="6" t="str">
        <f>IF(B182&lt;&gt;"",IF(AND(Input!$H$54="Annual",MOD(B182,12)=0),Input!$J$54,IF(AND(Input!$H$54="1st Installment",B182=1),Input!$J$54,IF(Input!$H$54="Monthly",Input!$J$54,""))),"")</f>
        <v/>
      </c>
      <c r="K182" s="6">
        <f>IF(B182&lt;&gt;"",IF(AND(Input!$H$55="Annual",MOD(B182,12)=0),Input!$J$55,IF(AND(Input!$H$55="1st Installment",B182=1),Input!$J$55,IF(Input!$H$55="Monthly",Input!$J$55,""))),"")</f>
        <v>0</v>
      </c>
      <c r="L182" s="6" t="str">
        <f>IF(B182&lt;&gt;"",IF(AND(Input!$H$56="Annual",MOD(B182,12)=0),Input!$J$56,IF(AND(Input!$H$56="1st Installment",B182=1),Input!$J$56,IF(Input!$H$56="Monthly",Input!$J$56,""))),"")</f>
        <v/>
      </c>
      <c r="M182" s="6" t="str">
        <f>IF(B182&lt;&gt;"",IF(AND(Input!$H$57="Annual",MOD(B182,12)=0),Input!$J$57,IF(AND(Input!$H$57="1st Installment",B182=1),Input!$J$57,IF(Input!$H$57="Monthly",Input!$J$57,""))),"")</f>
        <v/>
      </c>
      <c r="N182" s="6" t="str">
        <f>IF(B182&lt;&gt;"",IF(AND(Input!$H$58="Annual",MOD(B182,12)=0),Input!$J$58,IF(AND(Input!$H$58="1st Installment",B182=1),Input!$J$58,IF(Input!$H$58="Monthly",Input!$J$58,IF(AND(Input!$H$58="End of the loan",B182=Input!$E$58),Input!$J$58,"")))),"")</f>
        <v/>
      </c>
      <c r="O182" s="6">
        <f t="shared" si="20"/>
        <v>0</v>
      </c>
      <c r="P182" s="4">
        <f t="shared" si="21"/>
        <v>4163.833508988514</v>
      </c>
      <c r="T182" s="9">
        <f t="shared" si="22"/>
        <v>49577</v>
      </c>
      <c r="U182" s="5">
        <f t="shared" si="25"/>
        <v>4163.83</v>
      </c>
    </row>
    <row r="183" spans="2:21">
      <c r="B183" s="16">
        <f t="shared" si="26"/>
        <v>166</v>
      </c>
      <c r="C183" s="9">
        <f t="shared" si="27"/>
        <v>49607</v>
      </c>
      <c r="D183" s="6">
        <f>IFERROR((PPMT(Input!$E$55/12,B183,$C$6,Input!$E$54,-Input!$E$65,0))," ")</f>
        <v>-1693.5685147208985</v>
      </c>
      <c r="E183" s="6">
        <f>IFERROR(((IPMT(Input!$E$55/12,B183,$C$6,Input!$E$54,-Input!$E$65,0)))," ")</f>
        <v>-2470.2649942676153</v>
      </c>
      <c r="F183" s="6">
        <f t="shared" si="29"/>
        <v>-240281.65654827913</v>
      </c>
      <c r="G183" s="6">
        <f t="shared" si="28"/>
        <v>-450914.70594381413</v>
      </c>
      <c r="H183" s="6">
        <f t="shared" si="23"/>
        <v>-4163.833508988514</v>
      </c>
      <c r="I183" s="6">
        <f t="shared" si="24"/>
        <v>1259718.3434517209</v>
      </c>
      <c r="J183" s="6" t="str">
        <f>IF(B183&lt;&gt;"",IF(AND(Input!$H$54="Annual",MOD(B183,12)=0),Input!$J$54,IF(AND(Input!$H$54="1st Installment",B183=1),Input!$J$54,IF(Input!$H$54="Monthly",Input!$J$54,""))),"")</f>
        <v/>
      </c>
      <c r="K183" s="6">
        <f>IF(B183&lt;&gt;"",IF(AND(Input!$H$55="Annual",MOD(B183,12)=0),Input!$J$55,IF(AND(Input!$H$55="1st Installment",B183=1),Input!$J$55,IF(Input!$H$55="Monthly",Input!$J$55,""))),"")</f>
        <v>0</v>
      </c>
      <c r="L183" s="6" t="str">
        <f>IF(B183&lt;&gt;"",IF(AND(Input!$H$56="Annual",MOD(B183,12)=0),Input!$J$56,IF(AND(Input!$H$56="1st Installment",B183=1),Input!$J$56,IF(Input!$H$56="Monthly",Input!$J$56,""))),"")</f>
        <v/>
      </c>
      <c r="M183" s="6" t="str">
        <f>IF(B183&lt;&gt;"",IF(AND(Input!$H$57="Annual",MOD(B183,12)=0),Input!$J$57,IF(AND(Input!$H$57="1st Installment",B183=1),Input!$J$57,IF(Input!$H$57="Monthly",Input!$J$57,""))),"")</f>
        <v/>
      </c>
      <c r="N183" s="6" t="str">
        <f>IF(B183&lt;&gt;"",IF(AND(Input!$H$58="Annual",MOD(B183,12)=0),Input!$J$58,IF(AND(Input!$H$58="1st Installment",B183=1),Input!$J$58,IF(Input!$H$58="Monthly",Input!$J$58,IF(AND(Input!$H$58="End of the loan",B183=Input!$E$58),Input!$J$58,"")))),"")</f>
        <v/>
      </c>
      <c r="O183" s="6">
        <f t="shared" si="20"/>
        <v>0</v>
      </c>
      <c r="P183" s="4">
        <f t="shared" si="21"/>
        <v>4163.833508988514</v>
      </c>
      <c r="T183" s="9">
        <f t="shared" si="22"/>
        <v>49607</v>
      </c>
      <c r="U183" s="5">
        <f t="shared" si="25"/>
        <v>4163.83</v>
      </c>
    </row>
    <row r="184" spans="2:21">
      <c r="B184" s="16">
        <f t="shared" si="26"/>
        <v>167</v>
      </c>
      <c r="C184" s="9">
        <f t="shared" si="27"/>
        <v>49638</v>
      </c>
      <c r="D184" s="6">
        <f>IFERROR((PPMT(Input!$E$55/12,B184,$C$6,Input!$E$54,-Input!$E$65,0))," ")</f>
        <v>-1696.8850863955602</v>
      </c>
      <c r="E184" s="6">
        <f>IFERROR(((IPMT(Input!$E$55/12,B184,$C$6,Input!$E$54,-Input!$E$65,0)))," ")</f>
        <v>-2466.9484225929536</v>
      </c>
      <c r="F184" s="6">
        <f t="shared" si="29"/>
        <v>-241978.54163467471</v>
      </c>
      <c r="G184" s="6">
        <f t="shared" si="28"/>
        <v>-453381.65436640708</v>
      </c>
      <c r="H184" s="6">
        <f t="shared" si="23"/>
        <v>-4163.833508988514</v>
      </c>
      <c r="I184" s="6">
        <f t="shared" si="24"/>
        <v>1258021.4583653254</v>
      </c>
      <c r="J184" s="6" t="str">
        <f>IF(B184&lt;&gt;"",IF(AND(Input!$H$54="Annual",MOD(B184,12)=0),Input!$J$54,IF(AND(Input!$H$54="1st Installment",B184=1),Input!$J$54,IF(Input!$H$54="Monthly",Input!$J$54,""))),"")</f>
        <v/>
      </c>
      <c r="K184" s="6">
        <f>IF(B184&lt;&gt;"",IF(AND(Input!$H$55="Annual",MOD(B184,12)=0),Input!$J$55,IF(AND(Input!$H$55="1st Installment",B184=1),Input!$J$55,IF(Input!$H$55="Monthly",Input!$J$55,""))),"")</f>
        <v>0</v>
      </c>
      <c r="L184" s="6" t="str">
        <f>IF(B184&lt;&gt;"",IF(AND(Input!$H$56="Annual",MOD(B184,12)=0),Input!$J$56,IF(AND(Input!$H$56="1st Installment",B184=1),Input!$J$56,IF(Input!$H$56="Monthly",Input!$J$56,""))),"")</f>
        <v/>
      </c>
      <c r="M184" s="6" t="str">
        <f>IF(B184&lt;&gt;"",IF(AND(Input!$H$57="Annual",MOD(B184,12)=0),Input!$J$57,IF(AND(Input!$H$57="1st Installment",B184=1),Input!$J$57,IF(Input!$H$57="Monthly",Input!$J$57,""))),"")</f>
        <v/>
      </c>
      <c r="N184" s="6" t="str">
        <f>IF(B184&lt;&gt;"",IF(AND(Input!$H$58="Annual",MOD(B184,12)=0),Input!$J$58,IF(AND(Input!$H$58="1st Installment",B184=1),Input!$J$58,IF(Input!$H$58="Monthly",Input!$J$58,IF(AND(Input!$H$58="End of the loan",B184=Input!$E$58),Input!$J$58,"")))),"")</f>
        <v/>
      </c>
      <c r="O184" s="6">
        <f t="shared" si="20"/>
        <v>0</v>
      </c>
      <c r="P184" s="4">
        <f t="shared" si="21"/>
        <v>4163.833508988514</v>
      </c>
      <c r="T184" s="9">
        <f t="shared" si="22"/>
        <v>49638</v>
      </c>
      <c r="U184" s="5">
        <f t="shared" si="25"/>
        <v>4163.83</v>
      </c>
    </row>
    <row r="185" spans="2:21">
      <c r="B185" s="16">
        <f t="shared" si="26"/>
        <v>168</v>
      </c>
      <c r="C185" s="9">
        <f t="shared" si="27"/>
        <v>49668</v>
      </c>
      <c r="D185" s="6">
        <f>IFERROR((PPMT(Input!$E$55/12,B185,$C$6,Input!$E$54,-Input!$E$65,0))," ")</f>
        <v>-1700.2081530230848</v>
      </c>
      <c r="E185" s="6">
        <f>IFERROR(((IPMT(Input!$E$55/12,B185,$C$6,Input!$E$54,-Input!$E$65,0)))," ")</f>
        <v>-2463.6253559654288</v>
      </c>
      <c r="F185" s="6">
        <f t="shared" si="29"/>
        <v>-243678.7497876978</v>
      </c>
      <c r="G185" s="6">
        <f t="shared" si="28"/>
        <v>-455845.27972237254</v>
      </c>
      <c r="H185" s="6">
        <f t="shared" si="23"/>
        <v>-4163.8335089885131</v>
      </c>
      <c r="I185" s="6">
        <f t="shared" si="24"/>
        <v>1256321.2502123022</v>
      </c>
      <c r="J185" s="6" t="str">
        <f>IF(B185&lt;&gt;"",IF(AND(Input!$H$54="Annual",MOD(B185,12)=0),Input!$J$54,IF(AND(Input!$H$54="1st Installment",B185=1),Input!$J$54,IF(Input!$H$54="Monthly",Input!$J$54,""))),"")</f>
        <v/>
      </c>
      <c r="K185" s="6">
        <f>IF(B185&lt;&gt;"",IF(AND(Input!$H$55="Annual",MOD(B185,12)=0),Input!$J$55,IF(AND(Input!$H$55="1st Installment",B185=1),Input!$J$55,IF(Input!$H$55="Monthly",Input!$J$55,""))),"")</f>
        <v>0</v>
      </c>
      <c r="L185" s="6" t="str">
        <f>IF(B185&lt;&gt;"",IF(AND(Input!$H$56="Annual",MOD(B185,12)=0),Input!$J$56,IF(AND(Input!$H$56="1st Installment",B185=1),Input!$J$56,IF(Input!$H$56="Monthly",Input!$J$56,""))),"")</f>
        <v/>
      </c>
      <c r="M185" s="6" t="str">
        <f>IF(B185&lt;&gt;"",IF(AND(Input!$H$57="Annual",MOD(B185,12)=0),Input!$J$57,IF(AND(Input!$H$57="1st Installment",B185=1),Input!$J$57,IF(Input!$H$57="Monthly",Input!$J$57,""))),"")</f>
        <v/>
      </c>
      <c r="N185" s="6" t="str">
        <f>IF(B185&lt;&gt;"",IF(AND(Input!$H$58="Annual",MOD(B185,12)=0),Input!$J$58,IF(AND(Input!$H$58="1st Installment",B185=1),Input!$J$58,IF(Input!$H$58="Monthly",Input!$J$58,IF(AND(Input!$H$58="End of the loan",B185=Input!$E$58),Input!$J$58,"")))),"")</f>
        <v/>
      </c>
      <c r="O185" s="6">
        <f t="shared" si="20"/>
        <v>0</v>
      </c>
      <c r="P185" s="4">
        <f t="shared" si="21"/>
        <v>4163.8335089885131</v>
      </c>
      <c r="T185" s="9">
        <f t="shared" si="22"/>
        <v>49668</v>
      </c>
      <c r="U185" s="5">
        <f t="shared" si="25"/>
        <v>4163.83</v>
      </c>
    </row>
    <row r="186" spans="2:21">
      <c r="B186" s="16">
        <f t="shared" si="26"/>
        <v>169</v>
      </c>
      <c r="C186" s="9">
        <f t="shared" si="27"/>
        <v>49699</v>
      </c>
      <c r="D186" s="6">
        <f>IFERROR((PPMT(Input!$E$55/12,B186,$C$6,Input!$E$54,-Input!$E$65,0))," ")</f>
        <v>-1703.537727322755</v>
      </c>
      <c r="E186" s="6">
        <f>IFERROR(((IPMT(Input!$E$55/12,B186,$C$6,Input!$E$54,-Input!$E$65,0)))," ")</f>
        <v>-2460.2957816657586</v>
      </c>
      <c r="F186" s="6">
        <f t="shared" si="29"/>
        <v>-245382.28751502055</v>
      </c>
      <c r="G186" s="6">
        <f t="shared" si="28"/>
        <v>-458305.57550403831</v>
      </c>
      <c r="H186" s="6">
        <f t="shared" si="23"/>
        <v>-4163.8335089885131</v>
      </c>
      <c r="I186" s="6">
        <f t="shared" si="24"/>
        <v>1254617.7124849795</v>
      </c>
      <c r="J186" s="6" t="str">
        <f>IF(B186&lt;&gt;"",IF(AND(Input!$H$54="Annual",MOD(B186,12)=0),Input!$J$54,IF(AND(Input!$H$54="1st Installment",B186=1),Input!$J$54,IF(Input!$H$54="Monthly",Input!$J$54,""))),"")</f>
        <v/>
      </c>
      <c r="K186" s="6">
        <f>IF(B186&lt;&gt;"",IF(AND(Input!$H$55="Annual",MOD(B186,12)=0),Input!$J$55,IF(AND(Input!$H$55="1st Installment",B186=1),Input!$J$55,IF(Input!$H$55="Monthly",Input!$J$55,""))),"")</f>
        <v>0</v>
      </c>
      <c r="L186" s="6" t="str">
        <f>IF(B186&lt;&gt;"",IF(AND(Input!$H$56="Annual",MOD(B186,12)=0),Input!$J$56,IF(AND(Input!$H$56="1st Installment",B186=1),Input!$J$56,IF(Input!$H$56="Monthly",Input!$J$56,""))),"")</f>
        <v/>
      </c>
      <c r="M186" s="6" t="str">
        <f>IF(B186&lt;&gt;"",IF(AND(Input!$H$57="Annual",MOD(B186,12)=0),Input!$J$57,IF(AND(Input!$H$57="1st Installment",B186=1),Input!$J$57,IF(Input!$H$57="Monthly",Input!$J$57,""))),"")</f>
        <v/>
      </c>
      <c r="N186" s="6" t="str">
        <f>IF(B186&lt;&gt;"",IF(AND(Input!$H$58="Annual",MOD(B186,12)=0),Input!$J$58,IF(AND(Input!$H$58="1st Installment",B186=1),Input!$J$58,IF(Input!$H$58="Monthly",Input!$J$58,IF(AND(Input!$H$58="End of the loan",B186=Input!$E$58),Input!$J$58,"")))),"")</f>
        <v/>
      </c>
      <c r="O186" s="6">
        <f t="shared" si="20"/>
        <v>0</v>
      </c>
      <c r="P186" s="4">
        <f t="shared" si="21"/>
        <v>4163.8335089885131</v>
      </c>
      <c r="T186" s="9">
        <f t="shared" si="22"/>
        <v>49699</v>
      </c>
      <c r="U186" s="5">
        <f t="shared" si="25"/>
        <v>4163.83</v>
      </c>
    </row>
    <row r="187" spans="2:21">
      <c r="B187" s="16">
        <f t="shared" si="26"/>
        <v>170</v>
      </c>
      <c r="C187" s="9">
        <f t="shared" si="27"/>
        <v>49730</v>
      </c>
      <c r="D187" s="6">
        <f>IFERROR((PPMT(Input!$E$55/12,B187,$C$6,Input!$E$54,-Input!$E$65,0))," ")</f>
        <v>-1706.8738220387622</v>
      </c>
      <c r="E187" s="6">
        <f>IFERROR(((IPMT(Input!$E$55/12,B187,$C$6,Input!$E$54,-Input!$E$65,0)))," ")</f>
        <v>-2456.9596869497514</v>
      </c>
      <c r="F187" s="6">
        <f t="shared" si="29"/>
        <v>-247089.16133705931</v>
      </c>
      <c r="G187" s="6">
        <f t="shared" si="28"/>
        <v>-460762.53519098804</v>
      </c>
      <c r="H187" s="6">
        <f t="shared" si="23"/>
        <v>-4163.8335089885131</v>
      </c>
      <c r="I187" s="6">
        <f t="shared" si="24"/>
        <v>1252910.8386629408</v>
      </c>
      <c r="J187" s="6" t="str">
        <f>IF(B187&lt;&gt;"",IF(AND(Input!$H$54="Annual",MOD(B187,12)=0),Input!$J$54,IF(AND(Input!$H$54="1st Installment",B187=1),Input!$J$54,IF(Input!$H$54="Monthly",Input!$J$54,""))),"")</f>
        <v/>
      </c>
      <c r="K187" s="6">
        <f>IF(B187&lt;&gt;"",IF(AND(Input!$H$55="Annual",MOD(B187,12)=0),Input!$J$55,IF(AND(Input!$H$55="1st Installment",B187=1),Input!$J$55,IF(Input!$H$55="Monthly",Input!$J$55,""))),"")</f>
        <v>0</v>
      </c>
      <c r="L187" s="6" t="str">
        <f>IF(B187&lt;&gt;"",IF(AND(Input!$H$56="Annual",MOD(B187,12)=0),Input!$J$56,IF(AND(Input!$H$56="1st Installment",B187=1),Input!$J$56,IF(Input!$H$56="Monthly",Input!$J$56,""))),"")</f>
        <v/>
      </c>
      <c r="M187" s="6" t="str">
        <f>IF(B187&lt;&gt;"",IF(AND(Input!$H$57="Annual",MOD(B187,12)=0),Input!$J$57,IF(AND(Input!$H$57="1st Installment",B187=1),Input!$J$57,IF(Input!$H$57="Monthly",Input!$J$57,""))),"")</f>
        <v/>
      </c>
      <c r="N187" s="6" t="str">
        <f>IF(B187&lt;&gt;"",IF(AND(Input!$H$58="Annual",MOD(B187,12)=0),Input!$J$58,IF(AND(Input!$H$58="1st Installment",B187=1),Input!$J$58,IF(Input!$H$58="Monthly",Input!$J$58,IF(AND(Input!$H$58="End of the loan",B187=Input!$E$58),Input!$J$58,"")))),"")</f>
        <v/>
      </c>
      <c r="O187" s="6">
        <f t="shared" si="20"/>
        <v>0</v>
      </c>
      <c r="P187" s="4">
        <f t="shared" si="21"/>
        <v>4163.8335089885131</v>
      </c>
      <c r="T187" s="9">
        <f t="shared" si="22"/>
        <v>49730</v>
      </c>
      <c r="U187" s="5">
        <f t="shared" si="25"/>
        <v>4163.83</v>
      </c>
    </row>
    <row r="188" spans="2:21">
      <c r="B188" s="16">
        <f t="shared" si="26"/>
        <v>171</v>
      </c>
      <c r="C188" s="9">
        <f t="shared" si="27"/>
        <v>49759</v>
      </c>
      <c r="D188" s="6">
        <f>IFERROR((PPMT(Input!$E$55/12,B188,$C$6,Input!$E$54,-Input!$E$65,0))," ")</f>
        <v>-1710.2164499402547</v>
      </c>
      <c r="E188" s="6">
        <f>IFERROR(((IPMT(Input!$E$55/12,B188,$C$6,Input!$E$54,-Input!$E$65,0)))," ")</f>
        <v>-2453.6170590482589</v>
      </c>
      <c r="F188" s="6">
        <f t="shared" si="29"/>
        <v>-248799.37778699957</v>
      </c>
      <c r="G188" s="6">
        <f t="shared" si="28"/>
        <v>-463216.15225003631</v>
      </c>
      <c r="H188" s="6">
        <f t="shared" si="23"/>
        <v>-4163.8335089885131</v>
      </c>
      <c r="I188" s="6">
        <f t="shared" si="24"/>
        <v>1251200.6222130004</v>
      </c>
      <c r="J188" s="6" t="str">
        <f>IF(B188&lt;&gt;"",IF(AND(Input!$H$54="Annual",MOD(B188,12)=0),Input!$J$54,IF(AND(Input!$H$54="1st Installment",B188=1),Input!$J$54,IF(Input!$H$54="Monthly",Input!$J$54,""))),"")</f>
        <v/>
      </c>
      <c r="K188" s="6">
        <f>IF(B188&lt;&gt;"",IF(AND(Input!$H$55="Annual",MOD(B188,12)=0),Input!$J$55,IF(AND(Input!$H$55="1st Installment",B188=1),Input!$J$55,IF(Input!$H$55="Monthly",Input!$J$55,""))),"")</f>
        <v>0</v>
      </c>
      <c r="L188" s="6" t="str">
        <f>IF(B188&lt;&gt;"",IF(AND(Input!$H$56="Annual",MOD(B188,12)=0),Input!$J$56,IF(AND(Input!$H$56="1st Installment",B188=1),Input!$J$56,IF(Input!$H$56="Monthly",Input!$J$56,""))),"")</f>
        <v/>
      </c>
      <c r="M188" s="6" t="str">
        <f>IF(B188&lt;&gt;"",IF(AND(Input!$H$57="Annual",MOD(B188,12)=0),Input!$J$57,IF(AND(Input!$H$57="1st Installment",B188=1),Input!$J$57,IF(Input!$H$57="Monthly",Input!$J$57,""))),"")</f>
        <v/>
      </c>
      <c r="N188" s="6" t="str">
        <f>IF(B188&lt;&gt;"",IF(AND(Input!$H$58="Annual",MOD(B188,12)=0),Input!$J$58,IF(AND(Input!$H$58="1st Installment",B188=1),Input!$J$58,IF(Input!$H$58="Monthly",Input!$J$58,IF(AND(Input!$H$58="End of the loan",B188=Input!$E$58),Input!$J$58,"")))),"")</f>
        <v/>
      </c>
      <c r="O188" s="6">
        <f t="shared" si="20"/>
        <v>0</v>
      </c>
      <c r="P188" s="4">
        <f t="shared" si="21"/>
        <v>4163.8335089885131</v>
      </c>
      <c r="T188" s="9">
        <f t="shared" si="22"/>
        <v>49759</v>
      </c>
      <c r="U188" s="5">
        <f t="shared" si="25"/>
        <v>4163.83</v>
      </c>
    </row>
    <row r="189" spans="2:21">
      <c r="B189" s="16">
        <f t="shared" si="26"/>
        <v>172</v>
      </c>
      <c r="C189" s="9">
        <f t="shared" si="27"/>
        <v>49790</v>
      </c>
      <c r="D189" s="6">
        <f>IFERROR((PPMT(Input!$E$55/12,B189,$C$6,Input!$E$54,-Input!$E$65,0))," ")</f>
        <v>-1713.5656238213876</v>
      </c>
      <c r="E189" s="6">
        <f>IFERROR(((IPMT(Input!$E$55/12,B189,$C$6,Input!$E$54,-Input!$E$65,0)))," ")</f>
        <v>-2450.2678851671262</v>
      </c>
      <c r="F189" s="6">
        <f t="shared" si="29"/>
        <v>-250512.94341082097</v>
      </c>
      <c r="G189" s="6">
        <f t="shared" si="28"/>
        <v>-465666.42013520346</v>
      </c>
      <c r="H189" s="6">
        <f t="shared" si="23"/>
        <v>-4163.833508988514</v>
      </c>
      <c r="I189" s="6">
        <f t="shared" si="24"/>
        <v>1249487.056589179</v>
      </c>
      <c r="J189" s="6" t="str">
        <f>IF(B189&lt;&gt;"",IF(AND(Input!$H$54="Annual",MOD(B189,12)=0),Input!$J$54,IF(AND(Input!$H$54="1st Installment",B189=1),Input!$J$54,IF(Input!$H$54="Monthly",Input!$J$54,""))),"")</f>
        <v/>
      </c>
      <c r="K189" s="6">
        <f>IF(B189&lt;&gt;"",IF(AND(Input!$H$55="Annual",MOD(B189,12)=0),Input!$J$55,IF(AND(Input!$H$55="1st Installment",B189=1),Input!$J$55,IF(Input!$H$55="Monthly",Input!$J$55,""))),"")</f>
        <v>0</v>
      </c>
      <c r="L189" s="6" t="str">
        <f>IF(B189&lt;&gt;"",IF(AND(Input!$H$56="Annual",MOD(B189,12)=0),Input!$J$56,IF(AND(Input!$H$56="1st Installment",B189=1),Input!$J$56,IF(Input!$H$56="Monthly",Input!$J$56,""))),"")</f>
        <v/>
      </c>
      <c r="M189" s="6" t="str">
        <f>IF(B189&lt;&gt;"",IF(AND(Input!$H$57="Annual",MOD(B189,12)=0),Input!$J$57,IF(AND(Input!$H$57="1st Installment",B189=1),Input!$J$57,IF(Input!$H$57="Monthly",Input!$J$57,""))),"")</f>
        <v/>
      </c>
      <c r="N189" s="6" t="str">
        <f>IF(B189&lt;&gt;"",IF(AND(Input!$H$58="Annual",MOD(B189,12)=0),Input!$J$58,IF(AND(Input!$H$58="1st Installment",B189=1),Input!$J$58,IF(Input!$H$58="Monthly",Input!$J$58,IF(AND(Input!$H$58="End of the loan",B189=Input!$E$58),Input!$J$58,"")))),"")</f>
        <v/>
      </c>
      <c r="O189" s="6">
        <f t="shared" si="20"/>
        <v>0</v>
      </c>
      <c r="P189" s="4">
        <f t="shared" si="21"/>
        <v>4163.833508988514</v>
      </c>
      <c r="T189" s="9">
        <f t="shared" si="22"/>
        <v>49790</v>
      </c>
      <c r="U189" s="5">
        <f t="shared" si="25"/>
        <v>4163.83</v>
      </c>
    </row>
    <row r="190" spans="2:21">
      <c r="B190" s="16">
        <f t="shared" si="26"/>
        <v>173</v>
      </c>
      <c r="C190" s="9">
        <f t="shared" si="27"/>
        <v>49820</v>
      </c>
      <c r="D190" s="6">
        <f>IFERROR((PPMT(Input!$E$55/12,B190,$C$6,Input!$E$54,-Input!$E$65,0))," ")</f>
        <v>-1716.9213565013713</v>
      </c>
      <c r="E190" s="6">
        <f>IFERROR(((IPMT(Input!$E$55/12,B190,$C$6,Input!$E$54,-Input!$E$65,0)))," ")</f>
        <v>-2446.9121524871425</v>
      </c>
      <c r="F190" s="6">
        <f t="shared" si="29"/>
        <v>-252229.86476732235</v>
      </c>
      <c r="G190" s="6">
        <f t="shared" si="28"/>
        <v>-468113.3322876906</v>
      </c>
      <c r="H190" s="6">
        <f t="shared" si="23"/>
        <v>-4163.833508988514</v>
      </c>
      <c r="I190" s="6">
        <f t="shared" si="24"/>
        <v>1247770.1352326777</v>
      </c>
      <c r="J190" s="6" t="str">
        <f>IF(B190&lt;&gt;"",IF(AND(Input!$H$54="Annual",MOD(B190,12)=0),Input!$J$54,IF(AND(Input!$H$54="1st Installment",B190=1),Input!$J$54,IF(Input!$H$54="Monthly",Input!$J$54,""))),"")</f>
        <v/>
      </c>
      <c r="K190" s="6">
        <f>IF(B190&lt;&gt;"",IF(AND(Input!$H$55="Annual",MOD(B190,12)=0),Input!$J$55,IF(AND(Input!$H$55="1st Installment",B190=1),Input!$J$55,IF(Input!$H$55="Monthly",Input!$J$55,""))),"")</f>
        <v>0</v>
      </c>
      <c r="L190" s="6" t="str">
        <f>IF(B190&lt;&gt;"",IF(AND(Input!$H$56="Annual",MOD(B190,12)=0),Input!$J$56,IF(AND(Input!$H$56="1st Installment",B190=1),Input!$J$56,IF(Input!$H$56="Monthly",Input!$J$56,""))),"")</f>
        <v/>
      </c>
      <c r="M190" s="6" t="str">
        <f>IF(B190&lt;&gt;"",IF(AND(Input!$H$57="Annual",MOD(B190,12)=0),Input!$J$57,IF(AND(Input!$H$57="1st Installment",B190=1),Input!$J$57,IF(Input!$H$57="Monthly",Input!$J$57,""))),"")</f>
        <v/>
      </c>
      <c r="N190" s="6" t="str">
        <f>IF(B190&lt;&gt;"",IF(AND(Input!$H$58="Annual",MOD(B190,12)=0),Input!$J$58,IF(AND(Input!$H$58="1st Installment",B190=1),Input!$J$58,IF(Input!$H$58="Monthly",Input!$J$58,IF(AND(Input!$H$58="End of the loan",B190=Input!$E$58),Input!$J$58,"")))),"")</f>
        <v/>
      </c>
      <c r="O190" s="6">
        <f t="shared" si="20"/>
        <v>0</v>
      </c>
      <c r="P190" s="4">
        <f t="shared" si="21"/>
        <v>4163.833508988514</v>
      </c>
      <c r="T190" s="9">
        <f t="shared" si="22"/>
        <v>49820</v>
      </c>
      <c r="U190" s="5">
        <f t="shared" si="25"/>
        <v>4163.83</v>
      </c>
    </row>
    <row r="191" spans="2:21">
      <c r="B191" s="16">
        <f t="shared" si="26"/>
        <v>174</v>
      </c>
      <c r="C191" s="9">
        <f t="shared" si="27"/>
        <v>49851</v>
      </c>
      <c r="D191" s="6">
        <f>IFERROR((PPMT(Input!$E$55/12,B191,$C$6,Input!$E$54,-Input!$E$65,0))," ")</f>
        <v>-1720.2836608245195</v>
      </c>
      <c r="E191" s="6">
        <f>IFERROR(((IPMT(Input!$E$55/12,B191,$C$6,Input!$E$54,-Input!$E$65,0)))," ")</f>
        <v>-2443.5498481639943</v>
      </c>
      <c r="F191" s="6">
        <f t="shared" si="29"/>
        <v>-253950.14842814687</v>
      </c>
      <c r="G191" s="6">
        <f t="shared" si="28"/>
        <v>-470556.88213585457</v>
      </c>
      <c r="H191" s="6">
        <f t="shared" si="23"/>
        <v>-4163.833508988514</v>
      </c>
      <c r="I191" s="6">
        <f t="shared" si="24"/>
        <v>1246049.851571853</v>
      </c>
      <c r="J191" s="6" t="str">
        <f>IF(B191&lt;&gt;"",IF(AND(Input!$H$54="Annual",MOD(B191,12)=0),Input!$J$54,IF(AND(Input!$H$54="1st Installment",B191=1),Input!$J$54,IF(Input!$H$54="Monthly",Input!$J$54,""))),"")</f>
        <v/>
      </c>
      <c r="K191" s="6">
        <f>IF(B191&lt;&gt;"",IF(AND(Input!$H$55="Annual",MOD(B191,12)=0),Input!$J$55,IF(AND(Input!$H$55="1st Installment",B191=1),Input!$J$55,IF(Input!$H$55="Monthly",Input!$J$55,""))),"")</f>
        <v>0</v>
      </c>
      <c r="L191" s="6" t="str">
        <f>IF(B191&lt;&gt;"",IF(AND(Input!$H$56="Annual",MOD(B191,12)=0),Input!$J$56,IF(AND(Input!$H$56="1st Installment",B191=1),Input!$J$56,IF(Input!$H$56="Monthly",Input!$J$56,""))),"")</f>
        <v/>
      </c>
      <c r="M191" s="6" t="str">
        <f>IF(B191&lt;&gt;"",IF(AND(Input!$H$57="Annual",MOD(B191,12)=0),Input!$J$57,IF(AND(Input!$H$57="1st Installment",B191=1),Input!$J$57,IF(Input!$H$57="Monthly",Input!$J$57,""))),"")</f>
        <v/>
      </c>
      <c r="N191" s="6" t="str">
        <f>IF(B191&lt;&gt;"",IF(AND(Input!$H$58="Annual",MOD(B191,12)=0),Input!$J$58,IF(AND(Input!$H$58="1st Installment",B191=1),Input!$J$58,IF(Input!$H$58="Monthly",Input!$J$58,IF(AND(Input!$H$58="End of the loan",B191=Input!$E$58),Input!$J$58,"")))),"")</f>
        <v/>
      </c>
      <c r="O191" s="6">
        <f t="shared" si="20"/>
        <v>0</v>
      </c>
      <c r="P191" s="4">
        <f t="shared" si="21"/>
        <v>4163.833508988514</v>
      </c>
      <c r="T191" s="9">
        <f t="shared" si="22"/>
        <v>49851</v>
      </c>
      <c r="U191" s="5">
        <f t="shared" si="25"/>
        <v>4163.83</v>
      </c>
    </row>
    <row r="192" spans="2:21">
      <c r="B192" s="16">
        <f t="shared" si="26"/>
        <v>175</v>
      </c>
      <c r="C192" s="9">
        <f t="shared" si="27"/>
        <v>49881</v>
      </c>
      <c r="D192" s="6">
        <f>IFERROR((PPMT(Input!$E$55/12,B192,$C$6,Input!$E$54,-Input!$E$65,0))," ")</f>
        <v>-1723.6525496603012</v>
      </c>
      <c r="E192" s="6">
        <f>IFERROR(((IPMT(Input!$E$55/12,B192,$C$6,Input!$E$54,-Input!$E$65,0)))," ")</f>
        <v>-2440.1809593282123</v>
      </c>
      <c r="F192" s="6">
        <f t="shared" si="29"/>
        <v>-255673.80097780717</v>
      </c>
      <c r="G192" s="6">
        <f t="shared" si="28"/>
        <v>-472997.06309518276</v>
      </c>
      <c r="H192" s="6">
        <f t="shared" si="23"/>
        <v>-4163.8335089885131</v>
      </c>
      <c r="I192" s="6">
        <f t="shared" si="24"/>
        <v>1244326.1990221927</v>
      </c>
      <c r="J192" s="6" t="str">
        <f>IF(B192&lt;&gt;"",IF(AND(Input!$H$54="Annual",MOD(B192,12)=0),Input!$J$54,IF(AND(Input!$H$54="1st Installment",B192=1),Input!$J$54,IF(Input!$H$54="Monthly",Input!$J$54,""))),"")</f>
        <v/>
      </c>
      <c r="K192" s="6">
        <f>IF(B192&lt;&gt;"",IF(AND(Input!$H$55="Annual",MOD(B192,12)=0),Input!$J$55,IF(AND(Input!$H$55="1st Installment",B192=1),Input!$J$55,IF(Input!$H$55="Monthly",Input!$J$55,""))),"")</f>
        <v>0</v>
      </c>
      <c r="L192" s="6" t="str">
        <f>IF(B192&lt;&gt;"",IF(AND(Input!$H$56="Annual",MOD(B192,12)=0),Input!$J$56,IF(AND(Input!$H$56="1st Installment",B192=1),Input!$J$56,IF(Input!$H$56="Monthly",Input!$J$56,""))),"")</f>
        <v/>
      </c>
      <c r="M192" s="6" t="str">
        <f>IF(B192&lt;&gt;"",IF(AND(Input!$H$57="Annual",MOD(B192,12)=0),Input!$J$57,IF(AND(Input!$H$57="1st Installment",B192=1),Input!$J$57,IF(Input!$H$57="Monthly",Input!$J$57,""))),"")</f>
        <v/>
      </c>
      <c r="N192" s="6" t="str">
        <f>IF(B192&lt;&gt;"",IF(AND(Input!$H$58="Annual",MOD(B192,12)=0),Input!$J$58,IF(AND(Input!$H$58="1st Installment",B192=1),Input!$J$58,IF(Input!$H$58="Monthly",Input!$J$58,IF(AND(Input!$H$58="End of the loan",B192=Input!$E$58),Input!$J$58,"")))),"")</f>
        <v/>
      </c>
      <c r="O192" s="6">
        <f t="shared" si="20"/>
        <v>0</v>
      </c>
      <c r="P192" s="4">
        <f t="shared" si="21"/>
        <v>4163.8335089885131</v>
      </c>
      <c r="T192" s="9">
        <f t="shared" si="22"/>
        <v>49881</v>
      </c>
      <c r="U192" s="5">
        <f t="shared" si="25"/>
        <v>4163.83</v>
      </c>
    </row>
    <row r="193" spans="2:21">
      <c r="B193" s="16">
        <f t="shared" si="26"/>
        <v>176</v>
      </c>
      <c r="C193" s="9">
        <f t="shared" si="27"/>
        <v>49912</v>
      </c>
      <c r="D193" s="6">
        <f>IFERROR((PPMT(Input!$E$55/12,B193,$C$6,Input!$E$54,-Input!$E$65,0))," ")</f>
        <v>-1727.0280359033859</v>
      </c>
      <c r="E193" s="6">
        <f>IFERROR(((IPMT(Input!$E$55/12,B193,$C$6,Input!$E$54,-Input!$E$65,0)))," ")</f>
        <v>-2436.8054730851277</v>
      </c>
      <c r="F193" s="6">
        <f t="shared" si="29"/>
        <v>-257400.82901371055</v>
      </c>
      <c r="G193" s="6">
        <f t="shared" si="28"/>
        <v>-475433.86856826791</v>
      </c>
      <c r="H193" s="6">
        <f t="shared" si="23"/>
        <v>-4163.8335089885131</v>
      </c>
      <c r="I193" s="6">
        <f t="shared" si="24"/>
        <v>1242599.1709862894</v>
      </c>
      <c r="J193" s="6" t="str">
        <f>IF(B193&lt;&gt;"",IF(AND(Input!$H$54="Annual",MOD(B193,12)=0),Input!$J$54,IF(AND(Input!$H$54="1st Installment",B193=1),Input!$J$54,IF(Input!$H$54="Monthly",Input!$J$54,""))),"")</f>
        <v/>
      </c>
      <c r="K193" s="6">
        <f>IF(B193&lt;&gt;"",IF(AND(Input!$H$55="Annual",MOD(B193,12)=0),Input!$J$55,IF(AND(Input!$H$55="1st Installment",B193=1),Input!$J$55,IF(Input!$H$55="Monthly",Input!$J$55,""))),"")</f>
        <v>0</v>
      </c>
      <c r="L193" s="6" t="str">
        <f>IF(B193&lt;&gt;"",IF(AND(Input!$H$56="Annual",MOD(B193,12)=0),Input!$J$56,IF(AND(Input!$H$56="1st Installment",B193=1),Input!$J$56,IF(Input!$H$56="Monthly",Input!$J$56,""))),"")</f>
        <v/>
      </c>
      <c r="M193" s="6" t="str">
        <f>IF(B193&lt;&gt;"",IF(AND(Input!$H$57="Annual",MOD(B193,12)=0),Input!$J$57,IF(AND(Input!$H$57="1st Installment",B193=1),Input!$J$57,IF(Input!$H$57="Monthly",Input!$J$57,""))),"")</f>
        <v/>
      </c>
      <c r="N193" s="6" t="str">
        <f>IF(B193&lt;&gt;"",IF(AND(Input!$H$58="Annual",MOD(B193,12)=0),Input!$J$58,IF(AND(Input!$H$58="1st Installment",B193=1),Input!$J$58,IF(Input!$H$58="Monthly",Input!$J$58,IF(AND(Input!$H$58="End of the loan",B193=Input!$E$58),Input!$J$58,"")))),"")</f>
        <v/>
      </c>
      <c r="O193" s="6">
        <f t="shared" si="20"/>
        <v>0</v>
      </c>
      <c r="P193" s="4">
        <f t="shared" si="21"/>
        <v>4163.8335089885131</v>
      </c>
      <c r="T193" s="9">
        <f t="shared" si="22"/>
        <v>49912</v>
      </c>
      <c r="U193" s="5">
        <f t="shared" si="25"/>
        <v>4163.83</v>
      </c>
    </row>
    <row r="194" spans="2:21">
      <c r="B194" s="16">
        <f t="shared" si="26"/>
        <v>177</v>
      </c>
      <c r="C194" s="9">
        <f t="shared" si="27"/>
        <v>49943</v>
      </c>
      <c r="D194" s="6">
        <f>IFERROR((PPMT(Input!$E$55/12,B194,$C$6,Input!$E$54,-Input!$E$65,0))," ")</f>
        <v>-1730.4101324736964</v>
      </c>
      <c r="E194" s="6">
        <f>IFERROR(((IPMT(Input!$E$55/12,B194,$C$6,Input!$E$54,-Input!$E$65,0)))," ")</f>
        <v>-2433.4233765148169</v>
      </c>
      <c r="F194" s="6">
        <f t="shared" si="29"/>
        <v>-259131.23914618423</v>
      </c>
      <c r="G194" s="6">
        <f t="shared" si="28"/>
        <v>-477867.29194478272</v>
      </c>
      <c r="H194" s="6">
        <f t="shared" si="23"/>
        <v>-4163.8335089885131</v>
      </c>
      <c r="I194" s="6">
        <f t="shared" si="24"/>
        <v>1240868.7608538158</v>
      </c>
      <c r="J194" s="6" t="str">
        <f>IF(B194&lt;&gt;"",IF(AND(Input!$H$54="Annual",MOD(B194,12)=0),Input!$J$54,IF(AND(Input!$H$54="1st Installment",B194=1),Input!$J$54,IF(Input!$H$54="Monthly",Input!$J$54,""))),"")</f>
        <v/>
      </c>
      <c r="K194" s="6">
        <f>IF(B194&lt;&gt;"",IF(AND(Input!$H$55="Annual",MOD(B194,12)=0),Input!$J$55,IF(AND(Input!$H$55="1st Installment",B194=1),Input!$J$55,IF(Input!$H$55="Monthly",Input!$J$55,""))),"")</f>
        <v>0</v>
      </c>
      <c r="L194" s="6" t="str">
        <f>IF(B194&lt;&gt;"",IF(AND(Input!$H$56="Annual",MOD(B194,12)=0),Input!$J$56,IF(AND(Input!$H$56="1st Installment",B194=1),Input!$J$56,IF(Input!$H$56="Monthly",Input!$J$56,""))),"")</f>
        <v/>
      </c>
      <c r="M194" s="6" t="str">
        <f>IF(B194&lt;&gt;"",IF(AND(Input!$H$57="Annual",MOD(B194,12)=0),Input!$J$57,IF(AND(Input!$H$57="1st Installment",B194=1),Input!$J$57,IF(Input!$H$57="Monthly",Input!$J$57,""))),"")</f>
        <v/>
      </c>
      <c r="N194" s="6" t="str">
        <f>IF(B194&lt;&gt;"",IF(AND(Input!$H$58="Annual",MOD(B194,12)=0),Input!$J$58,IF(AND(Input!$H$58="1st Installment",B194=1),Input!$J$58,IF(Input!$H$58="Monthly",Input!$J$58,IF(AND(Input!$H$58="End of the loan",B194=Input!$E$58),Input!$J$58,"")))),"")</f>
        <v/>
      </c>
      <c r="O194" s="6">
        <f t="shared" si="20"/>
        <v>0</v>
      </c>
      <c r="P194" s="4">
        <f t="shared" si="21"/>
        <v>4163.8335089885131</v>
      </c>
      <c r="T194" s="9">
        <f t="shared" si="22"/>
        <v>49943</v>
      </c>
      <c r="U194" s="5">
        <f t="shared" si="25"/>
        <v>4163.83</v>
      </c>
    </row>
    <row r="195" spans="2:21">
      <c r="B195" s="16">
        <f t="shared" si="26"/>
        <v>178</v>
      </c>
      <c r="C195" s="9">
        <f t="shared" si="27"/>
        <v>49973</v>
      </c>
      <c r="D195" s="6">
        <f>IFERROR((PPMT(Input!$E$55/12,B195,$C$6,Input!$E$54,-Input!$E$65,0))," ")</f>
        <v>-1733.7988523164577</v>
      </c>
      <c r="E195" s="6">
        <f>IFERROR(((IPMT(Input!$E$55/12,B195,$C$6,Input!$E$54,-Input!$E$65,0)))," ")</f>
        <v>-2430.0346566720564</v>
      </c>
      <c r="F195" s="6">
        <f t="shared" si="29"/>
        <v>-260865.03799850069</v>
      </c>
      <c r="G195" s="6">
        <f t="shared" si="28"/>
        <v>-480297.32660145476</v>
      </c>
      <c r="H195" s="6">
        <f t="shared" si="23"/>
        <v>-4163.833508988514</v>
      </c>
      <c r="I195" s="6">
        <f t="shared" si="24"/>
        <v>1239134.9620014993</v>
      </c>
      <c r="J195" s="6" t="str">
        <f>IF(B195&lt;&gt;"",IF(AND(Input!$H$54="Annual",MOD(B195,12)=0),Input!$J$54,IF(AND(Input!$H$54="1st Installment",B195=1),Input!$J$54,IF(Input!$H$54="Monthly",Input!$J$54,""))),"")</f>
        <v/>
      </c>
      <c r="K195" s="6">
        <f>IF(B195&lt;&gt;"",IF(AND(Input!$H$55="Annual",MOD(B195,12)=0),Input!$J$55,IF(AND(Input!$H$55="1st Installment",B195=1),Input!$J$55,IF(Input!$H$55="Monthly",Input!$J$55,""))),"")</f>
        <v>0</v>
      </c>
      <c r="L195" s="6" t="str">
        <f>IF(B195&lt;&gt;"",IF(AND(Input!$H$56="Annual",MOD(B195,12)=0),Input!$J$56,IF(AND(Input!$H$56="1st Installment",B195=1),Input!$J$56,IF(Input!$H$56="Monthly",Input!$J$56,""))),"")</f>
        <v/>
      </c>
      <c r="M195" s="6" t="str">
        <f>IF(B195&lt;&gt;"",IF(AND(Input!$H$57="Annual",MOD(B195,12)=0),Input!$J$57,IF(AND(Input!$H$57="1st Installment",B195=1),Input!$J$57,IF(Input!$H$57="Monthly",Input!$J$57,""))),"")</f>
        <v/>
      </c>
      <c r="N195" s="6" t="str">
        <f>IF(B195&lt;&gt;"",IF(AND(Input!$H$58="Annual",MOD(B195,12)=0),Input!$J$58,IF(AND(Input!$H$58="1st Installment",B195=1),Input!$J$58,IF(Input!$H$58="Monthly",Input!$J$58,IF(AND(Input!$H$58="End of the loan",B195=Input!$E$58),Input!$J$58,"")))),"")</f>
        <v/>
      </c>
      <c r="O195" s="6">
        <f t="shared" si="20"/>
        <v>0</v>
      </c>
      <c r="P195" s="4">
        <f t="shared" si="21"/>
        <v>4163.833508988514</v>
      </c>
      <c r="T195" s="9">
        <f t="shared" si="22"/>
        <v>49973</v>
      </c>
      <c r="U195" s="5">
        <f t="shared" si="25"/>
        <v>4163.83</v>
      </c>
    </row>
    <row r="196" spans="2:21">
      <c r="B196" s="16">
        <f t="shared" si="26"/>
        <v>179</v>
      </c>
      <c r="C196" s="9">
        <f t="shared" si="27"/>
        <v>50004</v>
      </c>
      <c r="D196" s="6">
        <f>IFERROR((PPMT(Input!$E$55/12,B196,$C$6,Input!$E$54,-Input!$E$65,0))," ")</f>
        <v>-1737.1942084022439</v>
      </c>
      <c r="E196" s="6">
        <f>IFERROR(((IPMT(Input!$E$55/12,B196,$C$6,Input!$E$54,-Input!$E$65,0)))," ")</f>
        <v>-2426.6393005862697</v>
      </c>
      <c r="F196" s="6">
        <f t="shared" si="29"/>
        <v>-262602.23220690293</v>
      </c>
      <c r="G196" s="6">
        <f t="shared" si="28"/>
        <v>-482723.965902041</v>
      </c>
      <c r="H196" s="6">
        <f t="shared" si="23"/>
        <v>-4163.8335089885131</v>
      </c>
      <c r="I196" s="6">
        <f t="shared" si="24"/>
        <v>1237397.7677930971</v>
      </c>
      <c r="J196" s="6" t="str">
        <f>IF(B196&lt;&gt;"",IF(AND(Input!$H$54="Annual",MOD(B196,12)=0),Input!$J$54,IF(AND(Input!$H$54="1st Installment",B196=1),Input!$J$54,IF(Input!$H$54="Monthly",Input!$J$54,""))),"")</f>
        <v/>
      </c>
      <c r="K196" s="6">
        <f>IF(B196&lt;&gt;"",IF(AND(Input!$H$55="Annual",MOD(B196,12)=0),Input!$J$55,IF(AND(Input!$H$55="1st Installment",B196=1),Input!$J$55,IF(Input!$H$55="Monthly",Input!$J$55,""))),"")</f>
        <v>0</v>
      </c>
      <c r="L196" s="6" t="str">
        <f>IF(B196&lt;&gt;"",IF(AND(Input!$H$56="Annual",MOD(B196,12)=0),Input!$J$56,IF(AND(Input!$H$56="1st Installment",B196=1),Input!$J$56,IF(Input!$H$56="Monthly",Input!$J$56,""))),"")</f>
        <v/>
      </c>
      <c r="M196" s="6" t="str">
        <f>IF(B196&lt;&gt;"",IF(AND(Input!$H$57="Annual",MOD(B196,12)=0),Input!$J$57,IF(AND(Input!$H$57="1st Installment",B196=1),Input!$J$57,IF(Input!$H$57="Monthly",Input!$J$57,""))),"")</f>
        <v/>
      </c>
      <c r="N196" s="6" t="str">
        <f>IF(B196&lt;&gt;"",IF(AND(Input!$H$58="Annual",MOD(B196,12)=0),Input!$J$58,IF(AND(Input!$H$58="1st Installment",B196=1),Input!$J$58,IF(Input!$H$58="Monthly",Input!$J$58,IF(AND(Input!$H$58="End of the loan",B196=Input!$E$58),Input!$J$58,"")))),"")</f>
        <v/>
      </c>
      <c r="O196" s="6">
        <f t="shared" si="20"/>
        <v>0</v>
      </c>
      <c r="P196" s="4">
        <f t="shared" si="21"/>
        <v>4163.8335089885131</v>
      </c>
      <c r="T196" s="9">
        <f t="shared" si="22"/>
        <v>50004</v>
      </c>
      <c r="U196" s="5">
        <f t="shared" si="25"/>
        <v>4163.83</v>
      </c>
    </row>
    <row r="197" spans="2:21">
      <c r="B197" s="16">
        <f t="shared" si="26"/>
        <v>180</v>
      </c>
      <c r="C197" s="9">
        <f t="shared" si="27"/>
        <v>50034</v>
      </c>
      <c r="D197" s="6">
        <f>IFERROR((PPMT(Input!$E$55/12,B197,$C$6,Input!$E$54,-Input!$E$65,0))," ")</f>
        <v>-1740.5962137270317</v>
      </c>
      <c r="E197" s="6">
        <f>IFERROR(((IPMT(Input!$E$55/12,B197,$C$6,Input!$E$54,-Input!$E$65,0)))," ")</f>
        <v>-2423.2372952614819</v>
      </c>
      <c r="F197" s="6">
        <f t="shared" si="29"/>
        <v>-264342.82842062996</v>
      </c>
      <c r="G197" s="6">
        <f t="shared" si="28"/>
        <v>-485147.20319730247</v>
      </c>
      <c r="H197" s="6">
        <f t="shared" si="23"/>
        <v>-4163.8335089885131</v>
      </c>
      <c r="I197" s="6">
        <f t="shared" si="24"/>
        <v>1235657.17157937</v>
      </c>
      <c r="J197" s="6" t="str">
        <f>IF(B197&lt;&gt;"",IF(AND(Input!$H$54="Annual",MOD(B197,12)=0),Input!$J$54,IF(AND(Input!$H$54="1st Installment",B197=1),Input!$J$54,IF(Input!$H$54="Monthly",Input!$J$54,""))),"")</f>
        <v/>
      </c>
      <c r="K197" s="6">
        <f>IF(B197&lt;&gt;"",IF(AND(Input!$H$55="Annual",MOD(B197,12)=0),Input!$J$55,IF(AND(Input!$H$55="1st Installment",B197=1),Input!$J$55,IF(Input!$H$55="Monthly",Input!$J$55,""))),"")</f>
        <v>0</v>
      </c>
      <c r="L197" s="6" t="str">
        <f>IF(B197&lt;&gt;"",IF(AND(Input!$H$56="Annual",MOD(B197,12)=0),Input!$J$56,IF(AND(Input!$H$56="1st Installment",B197=1),Input!$J$56,IF(Input!$H$56="Monthly",Input!$J$56,""))),"")</f>
        <v/>
      </c>
      <c r="M197" s="6" t="str">
        <f>IF(B197&lt;&gt;"",IF(AND(Input!$H$57="Annual",MOD(B197,12)=0),Input!$J$57,IF(AND(Input!$H$57="1st Installment",B197=1),Input!$J$57,IF(Input!$H$57="Monthly",Input!$J$57,""))),"")</f>
        <v/>
      </c>
      <c r="N197" s="6" t="str">
        <f>IF(B197&lt;&gt;"",IF(AND(Input!$H$58="Annual",MOD(B197,12)=0),Input!$J$58,IF(AND(Input!$H$58="1st Installment",B197=1),Input!$J$58,IF(Input!$H$58="Monthly",Input!$J$58,IF(AND(Input!$H$58="End of the loan",B197=Input!$E$58),Input!$J$58,"")))),"")</f>
        <v/>
      </c>
      <c r="O197" s="6">
        <f t="shared" si="20"/>
        <v>0</v>
      </c>
      <c r="P197" s="4">
        <f t="shared" si="21"/>
        <v>4163.8335089885131</v>
      </c>
      <c r="T197" s="9">
        <f t="shared" si="22"/>
        <v>50034</v>
      </c>
      <c r="U197" s="5">
        <f t="shared" si="25"/>
        <v>4163.83</v>
      </c>
    </row>
    <row r="198" spans="2:21">
      <c r="B198" s="16">
        <f t="shared" si="26"/>
        <v>181</v>
      </c>
      <c r="C198" s="9">
        <f t="shared" si="27"/>
        <v>50065</v>
      </c>
      <c r="D198" s="6">
        <f>IFERROR((PPMT(Input!$E$55/12,B198,$C$6,Input!$E$54,-Input!$E$65,0))," ")</f>
        <v>-1744.0048813122471</v>
      </c>
      <c r="E198" s="6">
        <f>IFERROR(((IPMT(Input!$E$55/12,B198,$C$6,Input!$E$54,-Input!$E$65,0)))," ")</f>
        <v>-2419.8286276762665</v>
      </c>
      <c r="F198" s="6">
        <f t="shared" si="29"/>
        <v>-266086.83330194221</v>
      </c>
      <c r="G198" s="6">
        <f t="shared" si="28"/>
        <v>-487567.03182497877</v>
      </c>
      <c r="H198" s="6">
        <f t="shared" si="23"/>
        <v>-4163.8335089885131</v>
      </c>
      <c r="I198" s="6">
        <f t="shared" si="24"/>
        <v>1233913.1666980577</v>
      </c>
      <c r="J198" s="6" t="str">
        <f>IF(B198&lt;&gt;"",IF(AND(Input!$H$54="Annual",MOD(B198,12)=0),Input!$J$54,IF(AND(Input!$H$54="1st Installment",B198=1),Input!$J$54,IF(Input!$H$54="Monthly",Input!$J$54,""))),"")</f>
        <v/>
      </c>
      <c r="K198" s="6">
        <f>IF(B198&lt;&gt;"",IF(AND(Input!$H$55="Annual",MOD(B198,12)=0),Input!$J$55,IF(AND(Input!$H$55="1st Installment",B198=1),Input!$J$55,IF(Input!$H$55="Monthly",Input!$J$55,""))),"")</f>
        <v>0</v>
      </c>
      <c r="L198" s="6" t="str">
        <f>IF(B198&lt;&gt;"",IF(AND(Input!$H$56="Annual",MOD(B198,12)=0),Input!$J$56,IF(AND(Input!$H$56="1st Installment",B198=1),Input!$J$56,IF(Input!$H$56="Monthly",Input!$J$56,""))),"")</f>
        <v/>
      </c>
      <c r="M198" s="6" t="str">
        <f>IF(B198&lt;&gt;"",IF(AND(Input!$H$57="Annual",MOD(B198,12)=0),Input!$J$57,IF(AND(Input!$H$57="1st Installment",B198=1),Input!$J$57,IF(Input!$H$57="Monthly",Input!$J$57,""))),"")</f>
        <v/>
      </c>
      <c r="N198" s="6" t="str">
        <f>IF(B198&lt;&gt;"",IF(AND(Input!$H$58="Annual",MOD(B198,12)=0),Input!$J$58,IF(AND(Input!$H$58="1st Installment",B198=1),Input!$J$58,IF(Input!$H$58="Monthly",Input!$J$58,IF(AND(Input!$H$58="End of the loan",B198=Input!$E$58),Input!$J$58,"")))),"")</f>
        <v/>
      </c>
      <c r="O198" s="6">
        <f t="shared" si="20"/>
        <v>0</v>
      </c>
      <c r="P198" s="4">
        <f t="shared" si="21"/>
        <v>4163.8335089885131</v>
      </c>
      <c r="T198" s="9">
        <f t="shared" si="22"/>
        <v>50065</v>
      </c>
      <c r="U198" s="5">
        <f t="shared" si="25"/>
        <v>4163.83</v>
      </c>
    </row>
    <row r="199" spans="2:21">
      <c r="B199" s="16">
        <f t="shared" si="26"/>
        <v>182</v>
      </c>
      <c r="C199" s="9">
        <f t="shared" si="27"/>
        <v>50096</v>
      </c>
      <c r="D199" s="6">
        <f>IFERROR((PPMT(Input!$E$55/12,B199,$C$6,Input!$E$54,-Input!$E$65,0))," ")</f>
        <v>-1747.420224204817</v>
      </c>
      <c r="E199" s="6">
        <f>IFERROR(((IPMT(Input!$E$55/12,B199,$C$6,Input!$E$54,-Input!$E$65,0)))," ")</f>
        <v>-2416.4132847836968</v>
      </c>
      <c r="F199" s="6">
        <f t="shared" si="29"/>
        <v>-267834.25352614705</v>
      </c>
      <c r="G199" s="6">
        <f t="shared" si="28"/>
        <v>-489983.44510976248</v>
      </c>
      <c r="H199" s="6">
        <f t="shared" si="23"/>
        <v>-4163.833508988514</v>
      </c>
      <c r="I199" s="6">
        <f t="shared" si="24"/>
        <v>1232165.746473853</v>
      </c>
      <c r="J199" s="6" t="str">
        <f>IF(B199&lt;&gt;"",IF(AND(Input!$H$54="Annual",MOD(B199,12)=0),Input!$J$54,IF(AND(Input!$H$54="1st Installment",B199=1),Input!$J$54,IF(Input!$H$54="Monthly",Input!$J$54,""))),"")</f>
        <v/>
      </c>
      <c r="K199" s="6">
        <f>IF(B199&lt;&gt;"",IF(AND(Input!$H$55="Annual",MOD(B199,12)=0),Input!$J$55,IF(AND(Input!$H$55="1st Installment",B199=1),Input!$J$55,IF(Input!$H$55="Monthly",Input!$J$55,""))),"")</f>
        <v>0</v>
      </c>
      <c r="L199" s="6" t="str">
        <f>IF(B199&lt;&gt;"",IF(AND(Input!$H$56="Annual",MOD(B199,12)=0),Input!$J$56,IF(AND(Input!$H$56="1st Installment",B199=1),Input!$J$56,IF(Input!$H$56="Monthly",Input!$J$56,""))),"")</f>
        <v/>
      </c>
      <c r="M199" s="6" t="str">
        <f>IF(B199&lt;&gt;"",IF(AND(Input!$H$57="Annual",MOD(B199,12)=0),Input!$J$57,IF(AND(Input!$H$57="1st Installment",B199=1),Input!$J$57,IF(Input!$H$57="Monthly",Input!$J$57,""))),"")</f>
        <v/>
      </c>
      <c r="N199" s="6" t="str">
        <f>IF(B199&lt;&gt;"",IF(AND(Input!$H$58="Annual",MOD(B199,12)=0),Input!$J$58,IF(AND(Input!$H$58="1st Installment",B199=1),Input!$J$58,IF(Input!$H$58="Monthly",Input!$J$58,IF(AND(Input!$H$58="End of the loan",B199=Input!$E$58),Input!$J$58,"")))),"")</f>
        <v/>
      </c>
      <c r="O199" s="6">
        <f t="shared" si="20"/>
        <v>0</v>
      </c>
      <c r="P199" s="4">
        <f t="shared" si="21"/>
        <v>4163.833508988514</v>
      </c>
      <c r="T199" s="9">
        <f t="shared" si="22"/>
        <v>50096</v>
      </c>
      <c r="U199" s="5">
        <f t="shared" si="25"/>
        <v>4163.83</v>
      </c>
    </row>
    <row r="200" spans="2:21">
      <c r="B200" s="16">
        <f t="shared" si="26"/>
        <v>183</v>
      </c>
      <c r="C200" s="9">
        <f t="shared" si="27"/>
        <v>50124</v>
      </c>
      <c r="D200" s="6">
        <f>IFERROR((PPMT(Input!$E$55/12,B200,$C$6,Input!$E$54,-Input!$E$65,0))," ")</f>
        <v>-1750.8422554772183</v>
      </c>
      <c r="E200" s="6">
        <f>IFERROR(((IPMT(Input!$E$55/12,B200,$C$6,Input!$E$54,-Input!$E$65,0)))," ")</f>
        <v>-2412.9912535112953</v>
      </c>
      <c r="F200" s="6">
        <f t="shared" si="29"/>
        <v>-269585.09578162426</v>
      </c>
      <c r="G200" s="6">
        <f t="shared" si="28"/>
        <v>-492396.43636327377</v>
      </c>
      <c r="H200" s="6">
        <f t="shared" si="23"/>
        <v>-4163.8335089885131</v>
      </c>
      <c r="I200" s="6">
        <f t="shared" si="24"/>
        <v>1230414.9042183757</v>
      </c>
      <c r="J200" s="6" t="str">
        <f>IF(B200&lt;&gt;"",IF(AND(Input!$H$54="Annual",MOD(B200,12)=0),Input!$J$54,IF(AND(Input!$H$54="1st Installment",B200=1),Input!$J$54,IF(Input!$H$54="Monthly",Input!$J$54,""))),"")</f>
        <v/>
      </c>
      <c r="K200" s="6">
        <f>IF(B200&lt;&gt;"",IF(AND(Input!$H$55="Annual",MOD(B200,12)=0),Input!$J$55,IF(AND(Input!$H$55="1st Installment",B200=1),Input!$J$55,IF(Input!$H$55="Monthly",Input!$J$55,""))),"")</f>
        <v>0</v>
      </c>
      <c r="L200" s="6" t="str">
        <f>IF(B200&lt;&gt;"",IF(AND(Input!$H$56="Annual",MOD(B200,12)=0),Input!$J$56,IF(AND(Input!$H$56="1st Installment",B200=1),Input!$J$56,IF(Input!$H$56="Monthly",Input!$J$56,""))),"")</f>
        <v/>
      </c>
      <c r="M200" s="6" t="str">
        <f>IF(B200&lt;&gt;"",IF(AND(Input!$H$57="Annual",MOD(B200,12)=0),Input!$J$57,IF(AND(Input!$H$57="1st Installment",B200=1),Input!$J$57,IF(Input!$H$57="Monthly",Input!$J$57,""))),"")</f>
        <v/>
      </c>
      <c r="N200" s="6" t="str">
        <f>IF(B200&lt;&gt;"",IF(AND(Input!$H$58="Annual",MOD(B200,12)=0),Input!$J$58,IF(AND(Input!$H$58="1st Installment",B200=1),Input!$J$58,IF(Input!$H$58="Monthly",Input!$J$58,IF(AND(Input!$H$58="End of the loan",B200=Input!$E$58),Input!$J$58,"")))),"")</f>
        <v/>
      </c>
      <c r="O200" s="6">
        <f t="shared" si="20"/>
        <v>0</v>
      </c>
      <c r="P200" s="4">
        <f t="shared" si="21"/>
        <v>4163.8335089885131</v>
      </c>
      <c r="T200" s="9">
        <f t="shared" si="22"/>
        <v>50124</v>
      </c>
      <c r="U200" s="5">
        <f t="shared" si="25"/>
        <v>4163.83</v>
      </c>
    </row>
    <row r="201" spans="2:21">
      <c r="B201" s="16">
        <f t="shared" si="26"/>
        <v>184</v>
      </c>
      <c r="C201" s="9">
        <f t="shared" si="27"/>
        <v>50155</v>
      </c>
      <c r="D201" s="6">
        <f>IFERROR((PPMT(Input!$E$55/12,B201,$C$6,Input!$E$54,-Input!$E$65,0))," ")</f>
        <v>-1754.2709882275276</v>
      </c>
      <c r="E201" s="6">
        <f>IFERROR(((IPMT(Input!$E$55/12,B201,$C$6,Input!$E$54,-Input!$E$65,0)))," ")</f>
        <v>-2409.562520760986</v>
      </c>
      <c r="F201" s="6">
        <f t="shared" si="29"/>
        <v>-271339.36676985177</v>
      </c>
      <c r="G201" s="6">
        <f t="shared" si="28"/>
        <v>-494805.99888403475</v>
      </c>
      <c r="H201" s="6">
        <f t="shared" si="23"/>
        <v>-4163.8335089885131</v>
      </c>
      <c r="I201" s="6">
        <f t="shared" si="24"/>
        <v>1228660.6332301483</v>
      </c>
      <c r="J201" s="6" t="str">
        <f>IF(B201&lt;&gt;"",IF(AND(Input!$H$54="Annual",MOD(B201,12)=0),Input!$J$54,IF(AND(Input!$H$54="1st Installment",B201=1),Input!$J$54,IF(Input!$H$54="Monthly",Input!$J$54,""))),"")</f>
        <v/>
      </c>
      <c r="K201" s="6">
        <f>IF(B201&lt;&gt;"",IF(AND(Input!$H$55="Annual",MOD(B201,12)=0),Input!$J$55,IF(AND(Input!$H$55="1st Installment",B201=1),Input!$J$55,IF(Input!$H$55="Monthly",Input!$J$55,""))),"")</f>
        <v>0</v>
      </c>
      <c r="L201" s="6" t="str">
        <f>IF(B201&lt;&gt;"",IF(AND(Input!$H$56="Annual",MOD(B201,12)=0),Input!$J$56,IF(AND(Input!$H$56="1st Installment",B201=1),Input!$J$56,IF(Input!$H$56="Monthly",Input!$J$56,""))),"")</f>
        <v/>
      </c>
      <c r="M201" s="6" t="str">
        <f>IF(B201&lt;&gt;"",IF(AND(Input!$H$57="Annual",MOD(B201,12)=0),Input!$J$57,IF(AND(Input!$H$57="1st Installment",B201=1),Input!$J$57,IF(Input!$H$57="Monthly",Input!$J$57,""))),"")</f>
        <v/>
      </c>
      <c r="N201" s="6" t="str">
        <f>IF(B201&lt;&gt;"",IF(AND(Input!$H$58="Annual",MOD(B201,12)=0),Input!$J$58,IF(AND(Input!$H$58="1st Installment",B201=1),Input!$J$58,IF(Input!$H$58="Monthly",Input!$J$58,IF(AND(Input!$H$58="End of the loan",B201=Input!$E$58),Input!$J$58,"")))),"")</f>
        <v/>
      </c>
      <c r="O201" s="6">
        <f t="shared" si="20"/>
        <v>0</v>
      </c>
      <c r="P201" s="4">
        <f t="shared" si="21"/>
        <v>4163.8335089885131</v>
      </c>
      <c r="T201" s="9">
        <f t="shared" si="22"/>
        <v>50155</v>
      </c>
      <c r="U201" s="5">
        <f t="shared" si="25"/>
        <v>4163.83</v>
      </c>
    </row>
    <row r="202" spans="2:21">
      <c r="B202" s="16">
        <f t="shared" si="26"/>
        <v>185</v>
      </c>
      <c r="C202" s="9">
        <f t="shared" si="27"/>
        <v>50185</v>
      </c>
      <c r="D202" s="6">
        <f>IFERROR((PPMT(Input!$E$55/12,B202,$C$6,Input!$E$54,-Input!$E$65,0))," ")</f>
        <v>-1757.7064355794732</v>
      </c>
      <c r="E202" s="6">
        <f>IFERROR(((IPMT(Input!$E$55/12,B202,$C$6,Input!$E$54,-Input!$E$65,0)))," ")</f>
        <v>-2406.1270734090403</v>
      </c>
      <c r="F202" s="6">
        <f t="shared" si="29"/>
        <v>-273097.07320543122</v>
      </c>
      <c r="G202" s="6">
        <f t="shared" si="28"/>
        <v>-497212.12595744379</v>
      </c>
      <c r="H202" s="6">
        <f t="shared" si="23"/>
        <v>-4163.8335089885131</v>
      </c>
      <c r="I202" s="6">
        <f t="shared" si="24"/>
        <v>1226902.9267945688</v>
      </c>
      <c r="J202" s="6" t="str">
        <f>IF(B202&lt;&gt;"",IF(AND(Input!$H$54="Annual",MOD(B202,12)=0),Input!$J$54,IF(AND(Input!$H$54="1st Installment",B202=1),Input!$J$54,IF(Input!$H$54="Monthly",Input!$J$54,""))),"")</f>
        <v/>
      </c>
      <c r="K202" s="6">
        <f>IF(B202&lt;&gt;"",IF(AND(Input!$H$55="Annual",MOD(B202,12)=0),Input!$J$55,IF(AND(Input!$H$55="1st Installment",B202=1),Input!$J$55,IF(Input!$H$55="Monthly",Input!$J$55,""))),"")</f>
        <v>0</v>
      </c>
      <c r="L202" s="6" t="str">
        <f>IF(B202&lt;&gt;"",IF(AND(Input!$H$56="Annual",MOD(B202,12)=0),Input!$J$56,IF(AND(Input!$H$56="1st Installment",B202=1),Input!$J$56,IF(Input!$H$56="Monthly",Input!$J$56,""))),"")</f>
        <v/>
      </c>
      <c r="M202" s="6" t="str">
        <f>IF(B202&lt;&gt;"",IF(AND(Input!$H$57="Annual",MOD(B202,12)=0),Input!$J$57,IF(AND(Input!$H$57="1st Installment",B202=1),Input!$J$57,IF(Input!$H$57="Monthly",Input!$J$57,""))),"")</f>
        <v/>
      </c>
      <c r="N202" s="6" t="str">
        <f>IF(B202&lt;&gt;"",IF(AND(Input!$H$58="Annual",MOD(B202,12)=0),Input!$J$58,IF(AND(Input!$H$58="1st Installment",B202=1),Input!$J$58,IF(Input!$H$58="Monthly",Input!$J$58,IF(AND(Input!$H$58="End of the loan",B202=Input!$E$58),Input!$J$58,"")))),"")</f>
        <v/>
      </c>
      <c r="O202" s="6">
        <f t="shared" si="20"/>
        <v>0</v>
      </c>
      <c r="P202" s="4">
        <f t="shared" si="21"/>
        <v>4163.8335089885131</v>
      </c>
      <c r="T202" s="9">
        <f t="shared" si="22"/>
        <v>50185</v>
      </c>
      <c r="U202" s="5">
        <f t="shared" si="25"/>
        <v>4163.83</v>
      </c>
    </row>
    <row r="203" spans="2:21">
      <c r="B203" s="16">
        <f t="shared" si="26"/>
        <v>186</v>
      </c>
      <c r="C203" s="9">
        <f t="shared" si="27"/>
        <v>50216</v>
      </c>
      <c r="D203" s="6">
        <f>IFERROR((PPMT(Input!$E$55/12,B203,$C$6,Input!$E$54,-Input!$E$65,0))," ")</f>
        <v>-1761.1486106824832</v>
      </c>
      <c r="E203" s="6">
        <f>IFERROR(((IPMT(Input!$E$55/12,B203,$C$6,Input!$E$54,-Input!$E$65,0)))," ")</f>
        <v>-2402.6848983060308</v>
      </c>
      <c r="F203" s="6">
        <f t="shared" si="29"/>
        <v>-274858.22181611368</v>
      </c>
      <c r="G203" s="6">
        <f t="shared" si="28"/>
        <v>-499614.81085574982</v>
      </c>
      <c r="H203" s="6">
        <f t="shared" si="23"/>
        <v>-4163.833508988514</v>
      </c>
      <c r="I203" s="6">
        <f t="shared" si="24"/>
        <v>1225141.7781838863</v>
      </c>
      <c r="J203" s="6" t="str">
        <f>IF(B203&lt;&gt;"",IF(AND(Input!$H$54="Annual",MOD(B203,12)=0),Input!$J$54,IF(AND(Input!$H$54="1st Installment",B203=1),Input!$J$54,IF(Input!$H$54="Monthly",Input!$J$54,""))),"")</f>
        <v/>
      </c>
      <c r="K203" s="6">
        <f>IF(B203&lt;&gt;"",IF(AND(Input!$H$55="Annual",MOD(B203,12)=0),Input!$J$55,IF(AND(Input!$H$55="1st Installment",B203=1),Input!$J$55,IF(Input!$H$55="Monthly",Input!$J$55,""))),"")</f>
        <v>0</v>
      </c>
      <c r="L203" s="6" t="str">
        <f>IF(B203&lt;&gt;"",IF(AND(Input!$H$56="Annual",MOD(B203,12)=0),Input!$J$56,IF(AND(Input!$H$56="1st Installment",B203=1),Input!$J$56,IF(Input!$H$56="Monthly",Input!$J$56,""))),"")</f>
        <v/>
      </c>
      <c r="M203" s="6" t="str">
        <f>IF(B203&lt;&gt;"",IF(AND(Input!$H$57="Annual",MOD(B203,12)=0),Input!$J$57,IF(AND(Input!$H$57="1st Installment",B203=1),Input!$J$57,IF(Input!$H$57="Monthly",Input!$J$57,""))),"")</f>
        <v/>
      </c>
      <c r="N203" s="6" t="str">
        <f>IF(B203&lt;&gt;"",IF(AND(Input!$H$58="Annual",MOD(B203,12)=0),Input!$J$58,IF(AND(Input!$H$58="1st Installment",B203=1),Input!$J$58,IF(Input!$H$58="Monthly",Input!$J$58,IF(AND(Input!$H$58="End of the loan",B203=Input!$E$58),Input!$J$58,"")))),"")</f>
        <v/>
      </c>
      <c r="O203" s="6">
        <f t="shared" si="20"/>
        <v>0</v>
      </c>
      <c r="P203" s="4">
        <f t="shared" si="21"/>
        <v>4163.833508988514</v>
      </c>
      <c r="T203" s="9">
        <f t="shared" si="22"/>
        <v>50216</v>
      </c>
      <c r="U203" s="5">
        <f t="shared" si="25"/>
        <v>4163.83</v>
      </c>
    </row>
    <row r="204" spans="2:21">
      <c r="B204" s="16">
        <f t="shared" si="26"/>
        <v>187</v>
      </c>
      <c r="C204" s="9">
        <f t="shared" si="27"/>
        <v>50246</v>
      </c>
      <c r="D204" s="6">
        <f>IFERROR((PPMT(Input!$E$55/12,B204,$C$6,Input!$E$54,-Input!$E$65,0))," ")</f>
        <v>-1764.5975267117362</v>
      </c>
      <c r="E204" s="6">
        <f>IFERROR(((IPMT(Input!$E$55/12,B204,$C$6,Input!$E$54,-Input!$E$65,0)))," ")</f>
        <v>-2399.2359822767776</v>
      </c>
      <c r="F204" s="6">
        <f t="shared" si="29"/>
        <v>-276622.81934282545</v>
      </c>
      <c r="G204" s="6">
        <f t="shared" si="28"/>
        <v>-502014.04683802661</v>
      </c>
      <c r="H204" s="6">
        <f t="shared" si="23"/>
        <v>-4163.833508988514</v>
      </c>
      <c r="I204" s="6">
        <f t="shared" si="24"/>
        <v>1223377.1806571744</v>
      </c>
      <c r="J204" s="6" t="str">
        <f>IF(B204&lt;&gt;"",IF(AND(Input!$H$54="Annual",MOD(B204,12)=0),Input!$J$54,IF(AND(Input!$H$54="1st Installment",B204=1),Input!$J$54,IF(Input!$H$54="Monthly",Input!$J$54,""))),"")</f>
        <v/>
      </c>
      <c r="K204" s="6">
        <f>IF(B204&lt;&gt;"",IF(AND(Input!$H$55="Annual",MOD(B204,12)=0),Input!$J$55,IF(AND(Input!$H$55="1st Installment",B204=1),Input!$J$55,IF(Input!$H$55="Monthly",Input!$J$55,""))),"")</f>
        <v>0</v>
      </c>
      <c r="L204" s="6" t="str">
        <f>IF(B204&lt;&gt;"",IF(AND(Input!$H$56="Annual",MOD(B204,12)=0),Input!$J$56,IF(AND(Input!$H$56="1st Installment",B204=1),Input!$J$56,IF(Input!$H$56="Monthly",Input!$J$56,""))),"")</f>
        <v/>
      </c>
      <c r="M204" s="6" t="str">
        <f>IF(B204&lt;&gt;"",IF(AND(Input!$H$57="Annual",MOD(B204,12)=0),Input!$J$57,IF(AND(Input!$H$57="1st Installment",B204=1),Input!$J$57,IF(Input!$H$57="Monthly",Input!$J$57,""))),"")</f>
        <v/>
      </c>
      <c r="N204" s="6" t="str">
        <f>IF(B204&lt;&gt;"",IF(AND(Input!$H$58="Annual",MOD(B204,12)=0),Input!$J$58,IF(AND(Input!$H$58="1st Installment",B204=1),Input!$J$58,IF(Input!$H$58="Monthly",Input!$J$58,IF(AND(Input!$H$58="End of the loan",B204=Input!$E$58),Input!$J$58,"")))),"")</f>
        <v/>
      </c>
      <c r="O204" s="6">
        <f t="shared" si="20"/>
        <v>0</v>
      </c>
      <c r="P204" s="4">
        <f t="shared" si="21"/>
        <v>4163.833508988514</v>
      </c>
      <c r="T204" s="9">
        <f t="shared" si="22"/>
        <v>50246</v>
      </c>
      <c r="U204" s="5">
        <f t="shared" si="25"/>
        <v>4163.83</v>
      </c>
    </row>
    <row r="205" spans="2:21">
      <c r="B205" s="16">
        <f t="shared" si="26"/>
        <v>188</v>
      </c>
      <c r="C205" s="9">
        <f t="shared" si="27"/>
        <v>50277</v>
      </c>
      <c r="D205" s="6">
        <f>IFERROR((PPMT(Input!$E$55/12,B205,$C$6,Input!$E$54,-Input!$E$65,0))," ")</f>
        <v>-1768.0531968682133</v>
      </c>
      <c r="E205" s="6">
        <f>IFERROR(((IPMT(Input!$E$55/12,B205,$C$6,Input!$E$54,-Input!$E$65,0)))," ")</f>
        <v>-2395.7803121203001</v>
      </c>
      <c r="F205" s="6">
        <f t="shared" si="29"/>
        <v>-278390.87253969366</v>
      </c>
      <c r="G205" s="6">
        <f t="shared" si="28"/>
        <v>-504409.82715014688</v>
      </c>
      <c r="H205" s="6">
        <f t="shared" si="23"/>
        <v>-4163.8335089885131</v>
      </c>
      <c r="I205" s="6">
        <f t="shared" si="24"/>
        <v>1221609.1274603063</v>
      </c>
      <c r="J205" s="6" t="str">
        <f>IF(B205&lt;&gt;"",IF(AND(Input!$H$54="Annual",MOD(B205,12)=0),Input!$J$54,IF(AND(Input!$H$54="1st Installment",B205=1),Input!$J$54,IF(Input!$H$54="Monthly",Input!$J$54,""))),"")</f>
        <v/>
      </c>
      <c r="K205" s="6">
        <f>IF(B205&lt;&gt;"",IF(AND(Input!$H$55="Annual",MOD(B205,12)=0),Input!$J$55,IF(AND(Input!$H$55="1st Installment",B205=1),Input!$J$55,IF(Input!$H$55="Monthly",Input!$J$55,""))),"")</f>
        <v>0</v>
      </c>
      <c r="L205" s="6" t="str">
        <f>IF(B205&lt;&gt;"",IF(AND(Input!$H$56="Annual",MOD(B205,12)=0),Input!$J$56,IF(AND(Input!$H$56="1st Installment",B205=1),Input!$J$56,IF(Input!$H$56="Monthly",Input!$J$56,""))),"")</f>
        <v/>
      </c>
      <c r="M205" s="6" t="str">
        <f>IF(B205&lt;&gt;"",IF(AND(Input!$H$57="Annual",MOD(B205,12)=0),Input!$J$57,IF(AND(Input!$H$57="1st Installment",B205=1),Input!$J$57,IF(Input!$H$57="Monthly",Input!$J$57,""))),"")</f>
        <v/>
      </c>
      <c r="N205" s="6" t="str">
        <f>IF(B205&lt;&gt;"",IF(AND(Input!$H$58="Annual",MOD(B205,12)=0),Input!$J$58,IF(AND(Input!$H$58="1st Installment",B205=1),Input!$J$58,IF(Input!$H$58="Monthly",Input!$J$58,IF(AND(Input!$H$58="End of the loan",B205=Input!$E$58),Input!$J$58,"")))),"")</f>
        <v/>
      </c>
      <c r="O205" s="6">
        <f t="shared" si="20"/>
        <v>0</v>
      </c>
      <c r="P205" s="4">
        <f t="shared" si="21"/>
        <v>4163.8335089885131</v>
      </c>
      <c r="T205" s="9">
        <f t="shared" si="22"/>
        <v>50277</v>
      </c>
      <c r="U205" s="5">
        <f t="shared" si="25"/>
        <v>4163.83</v>
      </c>
    </row>
    <row r="206" spans="2:21">
      <c r="B206" s="16">
        <f t="shared" si="26"/>
        <v>189</v>
      </c>
      <c r="C206" s="9">
        <f t="shared" si="27"/>
        <v>50308</v>
      </c>
      <c r="D206" s="6">
        <f>IFERROR((PPMT(Input!$E$55/12,B206,$C$6,Input!$E$54,-Input!$E$65,0))," ")</f>
        <v>-1771.5156343787469</v>
      </c>
      <c r="E206" s="6">
        <f>IFERROR(((IPMT(Input!$E$55/12,B206,$C$6,Input!$E$54,-Input!$E$65,0)))," ")</f>
        <v>-2392.3178746097669</v>
      </c>
      <c r="F206" s="6">
        <f t="shared" si="29"/>
        <v>-280162.38817407243</v>
      </c>
      <c r="G206" s="6">
        <f t="shared" si="28"/>
        <v>-506802.14502475667</v>
      </c>
      <c r="H206" s="6">
        <f t="shared" si="23"/>
        <v>-4163.833508988514</v>
      </c>
      <c r="I206" s="6">
        <f t="shared" si="24"/>
        <v>1219837.6118259276</v>
      </c>
      <c r="J206" s="6" t="str">
        <f>IF(B206&lt;&gt;"",IF(AND(Input!$H$54="Annual",MOD(B206,12)=0),Input!$J$54,IF(AND(Input!$H$54="1st Installment",B206=1),Input!$J$54,IF(Input!$H$54="Monthly",Input!$J$54,""))),"")</f>
        <v/>
      </c>
      <c r="K206" s="6">
        <f>IF(B206&lt;&gt;"",IF(AND(Input!$H$55="Annual",MOD(B206,12)=0),Input!$J$55,IF(AND(Input!$H$55="1st Installment",B206=1),Input!$J$55,IF(Input!$H$55="Monthly",Input!$J$55,""))),"")</f>
        <v>0</v>
      </c>
      <c r="L206" s="6" t="str">
        <f>IF(B206&lt;&gt;"",IF(AND(Input!$H$56="Annual",MOD(B206,12)=0),Input!$J$56,IF(AND(Input!$H$56="1st Installment",B206=1),Input!$J$56,IF(Input!$H$56="Monthly",Input!$J$56,""))),"")</f>
        <v/>
      </c>
      <c r="M206" s="6" t="str">
        <f>IF(B206&lt;&gt;"",IF(AND(Input!$H$57="Annual",MOD(B206,12)=0),Input!$J$57,IF(AND(Input!$H$57="1st Installment",B206=1),Input!$J$57,IF(Input!$H$57="Monthly",Input!$J$57,""))),"")</f>
        <v/>
      </c>
      <c r="N206" s="6" t="str">
        <f>IF(B206&lt;&gt;"",IF(AND(Input!$H$58="Annual",MOD(B206,12)=0),Input!$J$58,IF(AND(Input!$H$58="1st Installment",B206=1),Input!$J$58,IF(Input!$H$58="Monthly",Input!$J$58,IF(AND(Input!$H$58="End of the loan",B206=Input!$E$58),Input!$J$58,"")))),"")</f>
        <v/>
      </c>
      <c r="O206" s="6">
        <f t="shared" si="20"/>
        <v>0</v>
      </c>
      <c r="P206" s="4">
        <f t="shared" si="21"/>
        <v>4163.833508988514</v>
      </c>
      <c r="T206" s="9">
        <f t="shared" si="22"/>
        <v>50308</v>
      </c>
      <c r="U206" s="5">
        <f t="shared" si="25"/>
        <v>4163.83</v>
      </c>
    </row>
    <row r="207" spans="2:21">
      <c r="B207" s="16">
        <f t="shared" si="26"/>
        <v>190</v>
      </c>
      <c r="C207" s="9">
        <f t="shared" si="27"/>
        <v>50338</v>
      </c>
      <c r="D207" s="6">
        <f>IFERROR((PPMT(Input!$E$55/12,B207,$C$6,Input!$E$54,-Input!$E$65,0))," ")</f>
        <v>-1774.9848524960721</v>
      </c>
      <c r="E207" s="6">
        <f>IFERROR(((IPMT(Input!$E$55/12,B207,$C$6,Input!$E$54,-Input!$E$65,0)))," ")</f>
        <v>-2388.8486564924419</v>
      </c>
      <c r="F207" s="6">
        <f t="shared" si="29"/>
        <v>-281937.3730265685</v>
      </c>
      <c r="G207" s="6">
        <f t="shared" si="28"/>
        <v>-509190.99368124909</v>
      </c>
      <c r="H207" s="6">
        <f t="shared" si="23"/>
        <v>-4163.833508988514</v>
      </c>
      <c r="I207" s="6">
        <f t="shared" si="24"/>
        <v>1218062.6269734316</v>
      </c>
      <c r="J207" s="6" t="str">
        <f>IF(B207&lt;&gt;"",IF(AND(Input!$H$54="Annual",MOD(B207,12)=0),Input!$J$54,IF(AND(Input!$H$54="1st Installment",B207=1),Input!$J$54,IF(Input!$H$54="Monthly",Input!$J$54,""))),"")</f>
        <v/>
      </c>
      <c r="K207" s="6">
        <f>IF(B207&lt;&gt;"",IF(AND(Input!$H$55="Annual",MOD(B207,12)=0),Input!$J$55,IF(AND(Input!$H$55="1st Installment",B207=1),Input!$J$55,IF(Input!$H$55="Monthly",Input!$J$55,""))),"")</f>
        <v>0</v>
      </c>
      <c r="L207" s="6" t="str">
        <f>IF(B207&lt;&gt;"",IF(AND(Input!$H$56="Annual",MOD(B207,12)=0),Input!$J$56,IF(AND(Input!$H$56="1st Installment",B207=1),Input!$J$56,IF(Input!$H$56="Monthly",Input!$J$56,""))),"")</f>
        <v/>
      </c>
      <c r="M207" s="6" t="str">
        <f>IF(B207&lt;&gt;"",IF(AND(Input!$H$57="Annual",MOD(B207,12)=0),Input!$J$57,IF(AND(Input!$H$57="1st Installment",B207=1),Input!$J$57,IF(Input!$H$57="Monthly",Input!$J$57,""))),"")</f>
        <v/>
      </c>
      <c r="N207" s="6" t="str">
        <f>IF(B207&lt;&gt;"",IF(AND(Input!$H$58="Annual",MOD(B207,12)=0),Input!$J$58,IF(AND(Input!$H$58="1st Installment",B207=1),Input!$J$58,IF(Input!$H$58="Monthly",Input!$J$58,IF(AND(Input!$H$58="End of the loan",B207=Input!$E$58),Input!$J$58,"")))),"")</f>
        <v/>
      </c>
      <c r="O207" s="6">
        <f t="shared" si="20"/>
        <v>0</v>
      </c>
      <c r="P207" s="4">
        <f t="shared" si="21"/>
        <v>4163.833508988514</v>
      </c>
      <c r="T207" s="9">
        <f t="shared" si="22"/>
        <v>50338</v>
      </c>
      <c r="U207" s="5">
        <f t="shared" si="25"/>
        <v>4163.83</v>
      </c>
    </row>
    <row r="208" spans="2:21">
      <c r="B208" s="16">
        <f t="shared" si="26"/>
        <v>191</v>
      </c>
      <c r="C208" s="9">
        <f t="shared" si="27"/>
        <v>50369</v>
      </c>
      <c r="D208" s="6">
        <f>IFERROR((PPMT(Input!$E$55/12,B208,$C$6,Input!$E$54,-Input!$E$65,0))," ")</f>
        <v>-1778.4608644988768</v>
      </c>
      <c r="E208" s="6">
        <f>IFERROR(((IPMT(Input!$E$55/12,B208,$C$6,Input!$E$54,-Input!$E$65,0)))," ")</f>
        <v>-2385.372644489637</v>
      </c>
      <c r="F208" s="6">
        <f t="shared" si="29"/>
        <v>-283715.83389106736</v>
      </c>
      <c r="G208" s="6">
        <f t="shared" si="28"/>
        <v>-511576.36632573872</v>
      </c>
      <c r="H208" s="6">
        <f t="shared" si="23"/>
        <v>-4163.833508988514</v>
      </c>
      <c r="I208" s="6">
        <f t="shared" si="24"/>
        <v>1216284.1661089326</v>
      </c>
      <c r="J208" s="6" t="str">
        <f>IF(B208&lt;&gt;"",IF(AND(Input!$H$54="Annual",MOD(B208,12)=0),Input!$J$54,IF(AND(Input!$H$54="1st Installment",B208=1),Input!$J$54,IF(Input!$H$54="Monthly",Input!$J$54,""))),"")</f>
        <v/>
      </c>
      <c r="K208" s="6">
        <f>IF(B208&lt;&gt;"",IF(AND(Input!$H$55="Annual",MOD(B208,12)=0),Input!$J$55,IF(AND(Input!$H$55="1st Installment",B208=1),Input!$J$55,IF(Input!$H$55="Monthly",Input!$J$55,""))),"")</f>
        <v>0</v>
      </c>
      <c r="L208" s="6" t="str">
        <f>IF(B208&lt;&gt;"",IF(AND(Input!$H$56="Annual",MOD(B208,12)=0),Input!$J$56,IF(AND(Input!$H$56="1st Installment",B208=1),Input!$J$56,IF(Input!$H$56="Monthly",Input!$J$56,""))),"")</f>
        <v/>
      </c>
      <c r="M208" s="6" t="str">
        <f>IF(B208&lt;&gt;"",IF(AND(Input!$H$57="Annual",MOD(B208,12)=0),Input!$J$57,IF(AND(Input!$H$57="1st Installment",B208=1),Input!$J$57,IF(Input!$H$57="Monthly",Input!$J$57,""))),"")</f>
        <v/>
      </c>
      <c r="N208" s="6" t="str">
        <f>IF(B208&lt;&gt;"",IF(AND(Input!$H$58="Annual",MOD(B208,12)=0),Input!$J$58,IF(AND(Input!$H$58="1st Installment",B208=1),Input!$J$58,IF(Input!$H$58="Monthly",Input!$J$58,IF(AND(Input!$H$58="End of the loan",B208=Input!$E$58),Input!$J$58,"")))),"")</f>
        <v/>
      </c>
      <c r="O208" s="6">
        <f t="shared" si="20"/>
        <v>0</v>
      </c>
      <c r="P208" s="4">
        <f t="shared" si="21"/>
        <v>4163.833508988514</v>
      </c>
      <c r="T208" s="9">
        <f t="shared" si="22"/>
        <v>50369</v>
      </c>
      <c r="U208" s="5">
        <f t="shared" si="25"/>
        <v>4163.83</v>
      </c>
    </row>
    <row r="209" spans="2:21">
      <c r="B209" s="16">
        <f t="shared" si="26"/>
        <v>192</v>
      </c>
      <c r="C209" s="9">
        <f t="shared" si="27"/>
        <v>50399</v>
      </c>
      <c r="D209" s="6">
        <f>IFERROR((PPMT(Input!$E$55/12,B209,$C$6,Input!$E$54,-Input!$E$65,0))," ")</f>
        <v>-1781.9436836918535</v>
      </c>
      <c r="E209" s="6">
        <f>IFERROR(((IPMT(Input!$E$55/12,B209,$C$6,Input!$E$54,-Input!$E$65,0)))," ")</f>
        <v>-2381.8898252966601</v>
      </c>
      <c r="F209" s="6">
        <f t="shared" si="29"/>
        <v>-285497.77757475921</v>
      </c>
      <c r="G209" s="6">
        <f t="shared" si="28"/>
        <v>-513958.25615103537</v>
      </c>
      <c r="H209" s="6">
        <f t="shared" si="23"/>
        <v>-4163.8335089885131</v>
      </c>
      <c r="I209" s="6">
        <f t="shared" si="24"/>
        <v>1214502.2224252408</v>
      </c>
      <c r="J209" s="6" t="str">
        <f>IF(B209&lt;&gt;"",IF(AND(Input!$H$54="Annual",MOD(B209,12)=0),Input!$J$54,IF(AND(Input!$H$54="1st Installment",B209=1),Input!$J$54,IF(Input!$H$54="Monthly",Input!$J$54,""))),"")</f>
        <v/>
      </c>
      <c r="K209" s="6">
        <f>IF(B209&lt;&gt;"",IF(AND(Input!$H$55="Annual",MOD(B209,12)=0),Input!$J$55,IF(AND(Input!$H$55="1st Installment",B209=1),Input!$J$55,IF(Input!$H$55="Monthly",Input!$J$55,""))),"")</f>
        <v>0</v>
      </c>
      <c r="L209" s="6" t="str">
        <f>IF(B209&lt;&gt;"",IF(AND(Input!$H$56="Annual",MOD(B209,12)=0),Input!$J$56,IF(AND(Input!$H$56="1st Installment",B209=1),Input!$J$56,IF(Input!$H$56="Monthly",Input!$J$56,""))),"")</f>
        <v/>
      </c>
      <c r="M209" s="6" t="str">
        <f>IF(B209&lt;&gt;"",IF(AND(Input!$H$57="Annual",MOD(B209,12)=0),Input!$J$57,IF(AND(Input!$H$57="1st Installment",B209=1),Input!$J$57,IF(Input!$H$57="Monthly",Input!$J$57,""))),"")</f>
        <v/>
      </c>
      <c r="N209" s="6" t="str">
        <f>IF(B209&lt;&gt;"",IF(AND(Input!$H$58="Annual",MOD(B209,12)=0),Input!$J$58,IF(AND(Input!$H$58="1st Installment",B209=1),Input!$J$58,IF(Input!$H$58="Monthly",Input!$J$58,IF(AND(Input!$H$58="End of the loan",B209=Input!$E$58),Input!$J$58,"")))),"")</f>
        <v/>
      </c>
      <c r="O209" s="6">
        <f t="shared" ref="O209:O269" si="30">IF(B209&lt;&gt;"",SUM(J209:N209),"")</f>
        <v>0</v>
      </c>
      <c r="P209" s="4">
        <f t="shared" ref="P209:P272" si="31">IF(B209&lt;&gt;"",(-H209+O209),"")</f>
        <v>4163.8335089885131</v>
      </c>
      <c r="T209" s="9">
        <f t="shared" si="22"/>
        <v>50399</v>
      </c>
      <c r="U209" s="5">
        <f t="shared" si="25"/>
        <v>4163.83</v>
      </c>
    </row>
    <row r="210" spans="2:21">
      <c r="B210" s="16">
        <f t="shared" si="26"/>
        <v>193</v>
      </c>
      <c r="C210" s="9">
        <f t="shared" si="27"/>
        <v>50430</v>
      </c>
      <c r="D210" s="6">
        <f>IFERROR((PPMT(Input!$E$55/12,B210,$C$6,Input!$E$54,-Input!$E$65,0))," ")</f>
        <v>-1785.4333234057503</v>
      </c>
      <c r="E210" s="6">
        <f>IFERROR(((IPMT(Input!$E$55/12,B210,$C$6,Input!$E$54,-Input!$E$65,0)))," ")</f>
        <v>-2378.4001855827637</v>
      </c>
      <c r="F210" s="6">
        <f t="shared" si="29"/>
        <v>-287283.21089816495</v>
      </c>
      <c r="G210" s="6">
        <f t="shared" si="28"/>
        <v>-516336.65633661812</v>
      </c>
      <c r="H210" s="6">
        <f t="shared" si="23"/>
        <v>-4163.833508988514</v>
      </c>
      <c r="I210" s="6">
        <f t="shared" si="24"/>
        <v>1212716.7891018351</v>
      </c>
      <c r="J210" s="6" t="str">
        <f>IF(B210&lt;&gt;"",IF(AND(Input!$H$54="Annual",MOD(B210,12)=0),Input!$J$54,IF(AND(Input!$H$54="1st Installment",B210=1),Input!$J$54,IF(Input!$H$54="Monthly",Input!$J$54,""))),"")</f>
        <v/>
      </c>
      <c r="K210" s="6">
        <f>IF(B210&lt;&gt;"",IF(AND(Input!$H$55="Annual",MOD(B210,12)=0),Input!$J$55,IF(AND(Input!$H$55="1st Installment",B210=1),Input!$J$55,IF(Input!$H$55="Monthly",Input!$J$55,""))),"")</f>
        <v>0</v>
      </c>
      <c r="L210" s="6" t="str">
        <f>IF(B210&lt;&gt;"",IF(AND(Input!$H$56="Annual",MOD(B210,12)=0),Input!$J$56,IF(AND(Input!$H$56="1st Installment",B210=1),Input!$J$56,IF(Input!$H$56="Monthly",Input!$J$56,""))),"")</f>
        <v/>
      </c>
      <c r="M210" s="6" t="str">
        <f>IF(B210&lt;&gt;"",IF(AND(Input!$H$57="Annual",MOD(B210,12)=0),Input!$J$57,IF(AND(Input!$H$57="1st Installment",B210=1),Input!$J$57,IF(Input!$H$57="Monthly",Input!$J$57,""))),"")</f>
        <v/>
      </c>
      <c r="N210" s="6" t="str">
        <f>IF(B210&lt;&gt;"",IF(AND(Input!$H$58="Annual",MOD(B210,12)=0),Input!$J$58,IF(AND(Input!$H$58="1st Installment",B210=1),Input!$J$58,IF(Input!$H$58="Monthly",Input!$J$58,IF(AND(Input!$H$58="End of the loan",B210=Input!$E$58),Input!$J$58,"")))),"")</f>
        <v/>
      </c>
      <c r="O210" s="6">
        <f t="shared" si="30"/>
        <v>0</v>
      </c>
      <c r="P210" s="4">
        <f t="shared" si="31"/>
        <v>4163.833508988514</v>
      </c>
      <c r="T210" s="9">
        <f t="shared" ref="T210:T273" si="32">C210</f>
        <v>50430</v>
      </c>
      <c r="U210" s="5">
        <f t="shared" si="25"/>
        <v>4163.83</v>
      </c>
    </row>
    <row r="211" spans="2:21">
      <c r="B211" s="16">
        <f t="shared" si="26"/>
        <v>194</v>
      </c>
      <c r="C211" s="9">
        <f t="shared" si="27"/>
        <v>50461</v>
      </c>
      <c r="D211" s="6">
        <f>IFERROR((PPMT(Input!$E$55/12,B211,$C$6,Input!$E$54,-Input!$E$65,0))," ")</f>
        <v>-1788.9297969974198</v>
      </c>
      <c r="E211" s="6">
        <f>IFERROR(((IPMT(Input!$E$55/12,B211,$C$6,Input!$E$54,-Input!$E$65,0)))," ")</f>
        <v>-2374.9037119910936</v>
      </c>
      <c r="F211" s="6">
        <f t="shared" si="29"/>
        <v>-289072.14069516235</v>
      </c>
      <c r="G211" s="6">
        <f t="shared" si="28"/>
        <v>-518711.56004860922</v>
      </c>
      <c r="H211" s="6">
        <f t="shared" ref="H211:H274" si="33">+IF(B211=$C$6+1,-$C$13,IFERROR(D211+E211,""))</f>
        <v>-4163.8335089885131</v>
      </c>
      <c r="I211" s="6">
        <f t="shared" ref="I211:I274" si="34">+IFERROR($C$8+F211,"")</f>
        <v>1210927.8593048376</v>
      </c>
      <c r="J211" s="6" t="str">
        <f>IF(B211&lt;&gt;"",IF(AND(Input!$H$54="Annual",MOD(B211,12)=0),Input!$J$54,IF(AND(Input!$H$54="1st Installment",B211=1),Input!$J$54,IF(Input!$H$54="Monthly",Input!$J$54,""))),"")</f>
        <v/>
      </c>
      <c r="K211" s="6">
        <f>IF(B211&lt;&gt;"",IF(AND(Input!$H$55="Annual",MOD(B211,12)=0),Input!$J$55,IF(AND(Input!$H$55="1st Installment",B211=1),Input!$J$55,IF(Input!$H$55="Monthly",Input!$J$55,""))),"")</f>
        <v>0</v>
      </c>
      <c r="L211" s="6" t="str">
        <f>IF(B211&lt;&gt;"",IF(AND(Input!$H$56="Annual",MOD(B211,12)=0),Input!$J$56,IF(AND(Input!$H$56="1st Installment",B211=1),Input!$J$56,IF(Input!$H$56="Monthly",Input!$J$56,""))),"")</f>
        <v/>
      </c>
      <c r="M211" s="6" t="str">
        <f>IF(B211&lt;&gt;"",IF(AND(Input!$H$57="Annual",MOD(B211,12)=0),Input!$J$57,IF(AND(Input!$H$57="1st Installment",B211=1),Input!$J$57,IF(Input!$H$57="Monthly",Input!$J$57,""))),"")</f>
        <v/>
      </c>
      <c r="N211" s="6" t="str">
        <f>IF(B211&lt;&gt;"",IF(AND(Input!$H$58="Annual",MOD(B211,12)=0),Input!$J$58,IF(AND(Input!$H$58="1st Installment",B211=1),Input!$J$58,IF(Input!$H$58="Monthly",Input!$J$58,IF(AND(Input!$H$58="End of the loan",B211=Input!$E$58),Input!$J$58,"")))),"")</f>
        <v/>
      </c>
      <c r="O211" s="6">
        <f t="shared" si="30"/>
        <v>0</v>
      </c>
      <c r="P211" s="4">
        <f t="shared" si="31"/>
        <v>4163.8335089885131</v>
      </c>
      <c r="T211" s="9">
        <f t="shared" si="32"/>
        <v>50461</v>
      </c>
      <c r="U211" s="5">
        <f t="shared" ref="U211:U274" si="35">IFERROR(ROUND(_xlfn.IFNA(VLOOKUP(T211,$C$18:$P$385,14,0),0),2)," ")</f>
        <v>4163.83</v>
      </c>
    </row>
    <row r="212" spans="2:21">
      <c r="B212" s="16">
        <f t="shared" ref="B212:B275" si="36">IF(B211="","",IF((B211+1)&lt;=$C$6+1,B211+1,""))</f>
        <v>195</v>
      </c>
      <c r="C212" s="9">
        <f t="shared" ref="C212:C275" si="37">IF(B212="","",EDATE(C211,1))</f>
        <v>50489</v>
      </c>
      <c r="D212" s="6">
        <f>IFERROR((PPMT(Input!$E$55/12,B212,$C$6,Input!$E$54,-Input!$E$65,0))," ")</f>
        <v>-1792.433117849873</v>
      </c>
      <c r="E212" s="6">
        <f>IFERROR(((IPMT(Input!$E$55/12,B212,$C$6,Input!$E$54,-Input!$E$65,0)))," ")</f>
        <v>-2371.4003911386408</v>
      </c>
      <c r="F212" s="6">
        <f t="shared" si="29"/>
        <v>-290864.57381301222</v>
      </c>
      <c r="G212" s="6">
        <f t="shared" ref="G212:G275" si="38">IF(B212&lt;=$C$6,G211+E212,"")</f>
        <v>-521082.96043974784</v>
      </c>
      <c r="H212" s="6">
        <f t="shared" si="33"/>
        <v>-4163.833508988514</v>
      </c>
      <c r="I212" s="6">
        <f t="shared" si="34"/>
        <v>1209135.4261869877</v>
      </c>
      <c r="J212" s="6" t="str">
        <f>IF(B212&lt;&gt;"",IF(AND(Input!$H$54="Annual",MOD(B212,12)=0),Input!$J$54,IF(AND(Input!$H$54="1st Installment",B212=1),Input!$J$54,IF(Input!$H$54="Monthly",Input!$J$54,""))),"")</f>
        <v/>
      </c>
      <c r="K212" s="6">
        <f>IF(B212&lt;&gt;"",IF(AND(Input!$H$55="Annual",MOD(B212,12)=0),Input!$J$55,IF(AND(Input!$H$55="1st Installment",B212=1),Input!$J$55,IF(Input!$H$55="Monthly",Input!$J$55,""))),"")</f>
        <v>0</v>
      </c>
      <c r="L212" s="6" t="str">
        <f>IF(B212&lt;&gt;"",IF(AND(Input!$H$56="Annual",MOD(B212,12)=0),Input!$J$56,IF(AND(Input!$H$56="1st Installment",B212=1),Input!$J$56,IF(Input!$H$56="Monthly",Input!$J$56,""))),"")</f>
        <v/>
      </c>
      <c r="M212" s="6" t="str">
        <f>IF(B212&lt;&gt;"",IF(AND(Input!$H$57="Annual",MOD(B212,12)=0),Input!$J$57,IF(AND(Input!$H$57="1st Installment",B212=1),Input!$J$57,IF(Input!$H$57="Monthly",Input!$J$57,""))),"")</f>
        <v/>
      </c>
      <c r="N212" s="6" t="str">
        <f>IF(B212&lt;&gt;"",IF(AND(Input!$H$58="Annual",MOD(B212,12)=0),Input!$J$58,IF(AND(Input!$H$58="1st Installment",B212=1),Input!$J$58,IF(Input!$H$58="Monthly",Input!$J$58,IF(AND(Input!$H$58="End of the loan",B212=Input!$E$58),Input!$J$58,"")))),"")</f>
        <v/>
      </c>
      <c r="O212" s="6">
        <f t="shared" si="30"/>
        <v>0</v>
      </c>
      <c r="P212" s="4">
        <f t="shared" si="31"/>
        <v>4163.833508988514</v>
      </c>
      <c r="T212" s="9">
        <f t="shared" si="32"/>
        <v>50489</v>
      </c>
      <c r="U212" s="5">
        <f t="shared" si="35"/>
        <v>4163.83</v>
      </c>
    </row>
    <row r="213" spans="2:21">
      <c r="B213" s="16">
        <f t="shared" si="36"/>
        <v>196</v>
      </c>
      <c r="C213" s="9">
        <f t="shared" si="37"/>
        <v>50520</v>
      </c>
      <c r="D213" s="6">
        <f>IFERROR((PPMT(Input!$E$55/12,B213,$C$6,Input!$E$54,-Input!$E$65,0))," ")</f>
        <v>-1795.9432993723292</v>
      </c>
      <c r="E213" s="6">
        <f>IFERROR(((IPMT(Input!$E$55/12,B213,$C$6,Input!$E$54,-Input!$E$65,0)))," ")</f>
        <v>-2367.8902096161846</v>
      </c>
      <c r="F213" s="6">
        <f t="shared" ref="F213:F276" si="39">IF(B213&lt;=$C$6,F212+D213,"")</f>
        <v>-292660.51711238455</v>
      </c>
      <c r="G213" s="6">
        <f t="shared" si="38"/>
        <v>-523450.850649364</v>
      </c>
      <c r="H213" s="6">
        <f t="shared" si="33"/>
        <v>-4163.833508988514</v>
      </c>
      <c r="I213" s="6">
        <f t="shared" si="34"/>
        <v>1207339.4828876154</v>
      </c>
      <c r="J213" s="6" t="str">
        <f>IF(B213&lt;&gt;"",IF(AND(Input!$H$54="Annual",MOD(B213,12)=0),Input!$J$54,IF(AND(Input!$H$54="1st Installment",B213=1),Input!$J$54,IF(Input!$H$54="Monthly",Input!$J$54,""))),"")</f>
        <v/>
      </c>
      <c r="K213" s="6">
        <f>IF(B213&lt;&gt;"",IF(AND(Input!$H$55="Annual",MOD(B213,12)=0),Input!$J$55,IF(AND(Input!$H$55="1st Installment",B213=1),Input!$J$55,IF(Input!$H$55="Monthly",Input!$J$55,""))),"")</f>
        <v>0</v>
      </c>
      <c r="L213" s="6" t="str">
        <f>IF(B213&lt;&gt;"",IF(AND(Input!$H$56="Annual",MOD(B213,12)=0),Input!$J$56,IF(AND(Input!$H$56="1st Installment",B213=1),Input!$J$56,IF(Input!$H$56="Monthly",Input!$J$56,""))),"")</f>
        <v/>
      </c>
      <c r="M213" s="6" t="str">
        <f>IF(B213&lt;&gt;"",IF(AND(Input!$H$57="Annual",MOD(B213,12)=0),Input!$J$57,IF(AND(Input!$H$57="1st Installment",B213=1),Input!$J$57,IF(Input!$H$57="Monthly",Input!$J$57,""))),"")</f>
        <v/>
      </c>
      <c r="N213" s="6" t="str">
        <f>IF(B213&lt;&gt;"",IF(AND(Input!$H$58="Annual",MOD(B213,12)=0),Input!$J$58,IF(AND(Input!$H$58="1st Installment",B213=1),Input!$J$58,IF(Input!$H$58="Monthly",Input!$J$58,IF(AND(Input!$H$58="End of the loan",B213=Input!$E$58),Input!$J$58,"")))),"")</f>
        <v/>
      </c>
      <c r="O213" s="6">
        <f t="shared" si="30"/>
        <v>0</v>
      </c>
      <c r="P213" s="4">
        <f t="shared" si="31"/>
        <v>4163.833508988514</v>
      </c>
      <c r="T213" s="9">
        <f t="shared" si="32"/>
        <v>50520</v>
      </c>
      <c r="U213" s="5">
        <f t="shared" si="35"/>
        <v>4163.83</v>
      </c>
    </row>
    <row r="214" spans="2:21">
      <c r="B214" s="16">
        <f t="shared" si="36"/>
        <v>197</v>
      </c>
      <c r="C214" s="9">
        <f t="shared" si="37"/>
        <v>50550</v>
      </c>
      <c r="D214" s="6">
        <f>IFERROR((PPMT(Input!$E$55/12,B214,$C$6,Input!$E$54,-Input!$E$65,0))," ")</f>
        <v>-1799.4603550002666</v>
      </c>
      <c r="E214" s="6">
        <f>IFERROR(((IPMT(Input!$E$55/12,B214,$C$6,Input!$E$54,-Input!$E$65,0)))," ")</f>
        <v>-2364.3731539882469</v>
      </c>
      <c r="F214" s="6">
        <f t="shared" si="39"/>
        <v>-294459.97746738483</v>
      </c>
      <c r="G214" s="6">
        <f t="shared" si="38"/>
        <v>-525815.22380335222</v>
      </c>
      <c r="H214" s="6">
        <f t="shared" si="33"/>
        <v>-4163.8335089885131</v>
      </c>
      <c r="I214" s="6">
        <f t="shared" si="34"/>
        <v>1205540.0225326151</v>
      </c>
      <c r="J214" s="6" t="str">
        <f>IF(B214&lt;&gt;"",IF(AND(Input!$H$54="Annual",MOD(B214,12)=0),Input!$J$54,IF(AND(Input!$H$54="1st Installment",B214=1),Input!$J$54,IF(Input!$H$54="Monthly",Input!$J$54,""))),"")</f>
        <v/>
      </c>
      <c r="K214" s="6">
        <f>IF(B214&lt;&gt;"",IF(AND(Input!$H$55="Annual",MOD(B214,12)=0),Input!$J$55,IF(AND(Input!$H$55="1st Installment",B214=1),Input!$J$55,IF(Input!$H$55="Monthly",Input!$J$55,""))),"")</f>
        <v>0</v>
      </c>
      <c r="L214" s="6" t="str">
        <f>IF(B214&lt;&gt;"",IF(AND(Input!$H$56="Annual",MOD(B214,12)=0),Input!$J$56,IF(AND(Input!$H$56="1st Installment",B214=1),Input!$J$56,IF(Input!$H$56="Monthly",Input!$J$56,""))),"")</f>
        <v/>
      </c>
      <c r="M214" s="6" t="str">
        <f>IF(B214&lt;&gt;"",IF(AND(Input!$H$57="Annual",MOD(B214,12)=0),Input!$J$57,IF(AND(Input!$H$57="1st Installment",B214=1),Input!$J$57,IF(Input!$H$57="Monthly",Input!$J$57,""))),"")</f>
        <v/>
      </c>
      <c r="N214" s="6" t="str">
        <f>IF(B214&lt;&gt;"",IF(AND(Input!$H$58="Annual",MOD(B214,12)=0),Input!$J$58,IF(AND(Input!$H$58="1st Installment",B214=1),Input!$J$58,IF(Input!$H$58="Monthly",Input!$J$58,IF(AND(Input!$H$58="End of the loan",B214=Input!$E$58),Input!$J$58,"")))),"")</f>
        <v/>
      </c>
      <c r="O214" s="6">
        <f t="shared" si="30"/>
        <v>0</v>
      </c>
      <c r="P214" s="4">
        <f t="shared" si="31"/>
        <v>4163.8335089885131</v>
      </c>
      <c r="T214" s="9">
        <f t="shared" si="32"/>
        <v>50550</v>
      </c>
      <c r="U214" s="5">
        <f t="shared" si="35"/>
        <v>4163.83</v>
      </c>
    </row>
    <row r="215" spans="2:21">
      <c r="B215" s="16">
        <f t="shared" si="36"/>
        <v>198</v>
      </c>
      <c r="C215" s="9">
        <f t="shared" si="37"/>
        <v>50581</v>
      </c>
      <c r="D215" s="6">
        <f>IFERROR((PPMT(Input!$E$55/12,B215,$C$6,Input!$E$54,-Input!$E$65,0))," ")</f>
        <v>-1802.9842981954755</v>
      </c>
      <c r="E215" s="6">
        <f>IFERROR(((IPMT(Input!$E$55/12,B215,$C$6,Input!$E$54,-Input!$E$65,0)))," ")</f>
        <v>-2360.8492107930383</v>
      </c>
      <c r="F215" s="6">
        <f t="shared" si="39"/>
        <v>-296262.96176558029</v>
      </c>
      <c r="G215" s="6">
        <f t="shared" si="38"/>
        <v>-528176.07301414525</v>
      </c>
      <c r="H215" s="6">
        <f t="shared" si="33"/>
        <v>-4163.833508988514</v>
      </c>
      <c r="I215" s="6">
        <f t="shared" si="34"/>
        <v>1203737.0382344197</v>
      </c>
      <c r="J215" s="6" t="str">
        <f>IF(B215&lt;&gt;"",IF(AND(Input!$H$54="Annual",MOD(B215,12)=0),Input!$J$54,IF(AND(Input!$H$54="1st Installment",B215=1),Input!$J$54,IF(Input!$H$54="Monthly",Input!$J$54,""))),"")</f>
        <v/>
      </c>
      <c r="K215" s="6">
        <f>IF(B215&lt;&gt;"",IF(AND(Input!$H$55="Annual",MOD(B215,12)=0),Input!$J$55,IF(AND(Input!$H$55="1st Installment",B215=1),Input!$J$55,IF(Input!$H$55="Monthly",Input!$J$55,""))),"")</f>
        <v>0</v>
      </c>
      <c r="L215" s="6" t="str">
        <f>IF(B215&lt;&gt;"",IF(AND(Input!$H$56="Annual",MOD(B215,12)=0),Input!$J$56,IF(AND(Input!$H$56="1st Installment",B215=1),Input!$J$56,IF(Input!$H$56="Monthly",Input!$J$56,""))),"")</f>
        <v/>
      </c>
      <c r="M215" s="6" t="str">
        <f>IF(B215&lt;&gt;"",IF(AND(Input!$H$57="Annual",MOD(B215,12)=0),Input!$J$57,IF(AND(Input!$H$57="1st Installment",B215=1),Input!$J$57,IF(Input!$H$57="Monthly",Input!$J$57,""))),"")</f>
        <v/>
      </c>
      <c r="N215" s="6" t="str">
        <f>IF(B215&lt;&gt;"",IF(AND(Input!$H$58="Annual",MOD(B215,12)=0),Input!$J$58,IF(AND(Input!$H$58="1st Installment",B215=1),Input!$J$58,IF(Input!$H$58="Monthly",Input!$J$58,IF(AND(Input!$H$58="End of the loan",B215=Input!$E$58),Input!$J$58,"")))),"")</f>
        <v/>
      </c>
      <c r="O215" s="6">
        <f t="shared" si="30"/>
        <v>0</v>
      </c>
      <c r="P215" s="4">
        <f t="shared" si="31"/>
        <v>4163.833508988514</v>
      </c>
      <c r="T215" s="9">
        <f t="shared" si="32"/>
        <v>50581</v>
      </c>
      <c r="U215" s="5">
        <f t="shared" si="35"/>
        <v>4163.83</v>
      </c>
    </row>
    <row r="216" spans="2:21">
      <c r="B216" s="16">
        <f t="shared" si="36"/>
        <v>199</v>
      </c>
      <c r="C216" s="9">
        <f t="shared" si="37"/>
        <v>50611</v>
      </c>
      <c r="D216" s="6">
        <f>IFERROR((PPMT(Input!$E$55/12,B216,$C$6,Input!$E$54,-Input!$E$65,0))," ")</f>
        <v>-1806.5151424461083</v>
      </c>
      <c r="E216" s="6">
        <f>IFERROR(((IPMT(Input!$E$55/12,B216,$C$6,Input!$E$54,-Input!$E$65,0)))," ")</f>
        <v>-2357.3183665424053</v>
      </c>
      <c r="F216" s="6">
        <f t="shared" si="39"/>
        <v>-298069.47690802638</v>
      </c>
      <c r="G216" s="6">
        <f t="shared" si="38"/>
        <v>-530533.39138068771</v>
      </c>
      <c r="H216" s="6">
        <f t="shared" si="33"/>
        <v>-4163.8335089885131</v>
      </c>
      <c r="I216" s="6">
        <f t="shared" si="34"/>
        <v>1201930.5230919737</v>
      </c>
      <c r="J216" s="6" t="str">
        <f>IF(B216&lt;&gt;"",IF(AND(Input!$H$54="Annual",MOD(B216,12)=0),Input!$J$54,IF(AND(Input!$H$54="1st Installment",B216=1),Input!$J$54,IF(Input!$H$54="Monthly",Input!$J$54,""))),"")</f>
        <v/>
      </c>
      <c r="K216" s="6">
        <f>IF(B216&lt;&gt;"",IF(AND(Input!$H$55="Annual",MOD(B216,12)=0),Input!$J$55,IF(AND(Input!$H$55="1st Installment",B216=1),Input!$J$55,IF(Input!$H$55="Monthly",Input!$J$55,""))),"")</f>
        <v>0</v>
      </c>
      <c r="L216" s="6" t="str">
        <f>IF(B216&lt;&gt;"",IF(AND(Input!$H$56="Annual",MOD(B216,12)=0),Input!$J$56,IF(AND(Input!$H$56="1st Installment",B216=1),Input!$J$56,IF(Input!$H$56="Monthly",Input!$J$56,""))),"")</f>
        <v/>
      </c>
      <c r="M216" s="6" t="str">
        <f>IF(B216&lt;&gt;"",IF(AND(Input!$H$57="Annual",MOD(B216,12)=0),Input!$J$57,IF(AND(Input!$H$57="1st Installment",B216=1),Input!$J$57,IF(Input!$H$57="Monthly",Input!$J$57,""))),"")</f>
        <v/>
      </c>
      <c r="N216" s="6" t="str">
        <f>IF(B216&lt;&gt;"",IF(AND(Input!$H$58="Annual",MOD(B216,12)=0),Input!$J$58,IF(AND(Input!$H$58="1st Installment",B216=1),Input!$J$58,IF(Input!$H$58="Monthly",Input!$J$58,IF(AND(Input!$H$58="End of the loan",B216=Input!$E$58),Input!$J$58,"")))),"")</f>
        <v/>
      </c>
      <c r="O216" s="6">
        <f t="shared" si="30"/>
        <v>0</v>
      </c>
      <c r="P216" s="4">
        <f t="shared" si="31"/>
        <v>4163.8335089885131</v>
      </c>
      <c r="T216" s="9">
        <f t="shared" si="32"/>
        <v>50611</v>
      </c>
      <c r="U216" s="5">
        <f t="shared" si="35"/>
        <v>4163.83</v>
      </c>
    </row>
    <row r="217" spans="2:21">
      <c r="B217" s="16">
        <f t="shared" si="36"/>
        <v>200</v>
      </c>
      <c r="C217" s="9">
        <f t="shared" si="37"/>
        <v>50642</v>
      </c>
      <c r="D217" s="6">
        <f>IFERROR((PPMT(Input!$E$55/12,B217,$C$6,Input!$E$54,-Input!$E$65,0))," ")</f>
        <v>-1810.0529012667319</v>
      </c>
      <c r="E217" s="6">
        <f>IFERROR(((IPMT(Input!$E$55/12,B217,$C$6,Input!$E$54,-Input!$E$65,0)))," ")</f>
        <v>-2353.7806077217815</v>
      </c>
      <c r="F217" s="6">
        <f t="shared" si="39"/>
        <v>-299879.5298092931</v>
      </c>
      <c r="G217" s="6">
        <f t="shared" si="38"/>
        <v>-532887.17198840948</v>
      </c>
      <c r="H217" s="6">
        <f t="shared" si="33"/>
        <v>-4163.8335089885131</v>
      </c>
      <c r="I217" s="6">
        <f t="shared" si="34"/>
        <v>1200120.4701907069</v>
      </c>
      <c r="J217" s="6" t="str">
        <f>IF(B217&lt;&gt;"",IF(AND(Input!$H$54="Annual",MOD(B217,12)=0),Input!$J$54,IF(AND(Input!$H$54="1st Installment",B217=1),Input!$J$54,IF(Input!$H$54="Monthly",Input!$J$54,""))),"")</f>
        <v/>
      </c>
      <c r="K217" s="6">
        <f>IF(B217&lt;&gt;"",IF(AND(Input!$H$55="Annual",MOD(B217,12)=0),Input!$J$55,IF(AND(Input!$H$55="1st Installment",B217=1),Input!$J$55,IF(Input!$H$55="Monthly",Input!$J$55,""))),"")</f>
        <v>0</v>
      </c>
      <c r="L217" s="6" t="str">
        <f>IF(B217&lt;&gt;"",IF(AND(Input!$H$56="Annual",MOD(B217,12)=0),Input!$J$56,IF(AND(Input!$H$56="1st Installment",B217=1),Input!$J$56,IF(Input!$H$56="Monthly",Input!$J$56,""))),"")</f>
        <v/>
      </c>
      <c r="M217" s="6" t="str">
        <f>IF(B217&lt;&gt;"",IF(AND(Input!$H$57="Annual",MOD(B217,12)=0),Input!$J$57,IF(AND(Input!$H$57="1st Installment",B217=1),Input!$J$57,IF(Input!$H$57="Monthly",Input!$J$57,""))),"")</f>
        <v/>
      </c>
      <c r="N217" s="6" t="str">
        <f>IF(B217&lt;&gt;"",IF(AND(Input!$H$58="Annual",MOD(B217,12)=0),Input!$J$58,IF(AND(Input!$H$58="1st Installment",B217=1),Input!$J$58,IF(Input!$H$58="Monthly",Input!$J$58,IF(AND(Input!$H$58="End of the loan",B217=Input!$E$58),Input!$J$58,"")))),"")</f>
        <v/>
      </c>
      <c r="O217" s="6">
        <f t="shared" si="30"/>
        <v>0</v>
      </c>
      <c r="P217" s="4">
        <f t="shared" si="31"/>
        <v>4163.8335089885131</v>
      </c>
      <c r="T217" s="9">
        <f t="shared" si="32"/>
        <v>50642</v>
      </c>
      <c r="U217" s="5">
        <f t="shared" si="35"/>
        <v>4163.83</v>
      </c>
    </row>
    <row r="218" spans="2:21">
      <c r="B218" s="16">
        <f t="shared" si="36"/>
        <v>201</v>
      </c>
      <c r="C218" s="9">
        <f t="shared" si="37"/>
        <v>50673</v>
      </c>
      <c r="D218" s="6">
        <f>IFERROR((PPMT(Input!$E$55/12,B218,$C$6,Input!$E$54,-Input!$E$65,0))," ")</f>
        <v>-1813.5975881983795</v>
      </c>
      <c r="E218" s="6">
        <f>IFERROR(((IPMT(Input!$E$55/12,B218,$C$6,Input!$E$54,-Input!$E$65,0)))," ")</f>
        <v>-2350.2359207901345</v>
      </c>
      <c r="F218" s="6">
        <f t="shared" si="39"/>
        <v>-301693.12739749148</v>
      </c>
      <c r="G218" s="6">
        <f t="shared" si="38"/>
        <v>-535237.4079091996</v>
      </c>
      <c r="H218" s="6">
        <f t="shared" si="33"/>
        <v>-4163.833508988514</v>
      </c>
      <c r="I218" s="6">
        <f t="shared" si="34"/>
        <v>1198306.8726025084</v>
      </c>
      <c r="J218" s="6" t="str">
        <f>IF(B218&lt;&gt;"",IF(AND(Input!$H$54="Annual",MOD(B218,12)=0),Input!$J$54,IF(AND(Input!$H$54="1st Installment",B218=1),Input!$J$54,IF(Input!$H$54="Monthly",Input!$J$54,""))),"")</f>
        <v/>
      </c>
      <c r="K218" s="6">
        <f>IF(B218&lt;&gt;"",IF(AND(Input!$H$55="Annual",MOD(B218,12)=0),Input!$J$55,IF(AND(Input!$H$55="1st Installment",B218=1),Input!$J$55,IF(Input!$H$55="Monthly",Input!$J$55,""))),"")</f>
        <v>0</v>
      </c>
      <c r="L218" s="6" t="str">
        <f>IF(B218&lt;&gt;"",IF(AND(Input!$H$56="Annual",MOD(B218,12)=0),Input!$J$56,IF(AND(Input!$H$56="1st Installment",B218=1),Input!$J$56,IF(Input!$H$56="Monthly",Input!$J$56,""))),"")</f>
        <v/>
      </c>
      <c r="M218" s="6" t="str">
        <f>IF(B218&lt;&gt;"",IF(AND(Input!$H$57="Annual",MOD(B218,12)=0),Input!$J$57,IF(AND(Input!$H$57="1st Installment",B218=1),Input!$J$57,IF(Input!$H$57="Monthly",Input!$J$57,""))),"")</f>
        <v/>
      </c>
      <c r="N218" s="6" t="str">
        <f>IF(B218&lt;&gt;"",IF(AND(Input!$H$58="Annual",MOD(B218,12)=0),Input!$J$58,IF(AND(Input!$H$58="1st Installment",B218=1),Input!$J$58,IF(Input!$H$58="Monthly",Input!$J$58,IF(AND(Input!$H$58="End of the loan",B218=Input!$E$58),Input!$J$58,"")))),"")</f>
        <v/>
      </c>
      <c r="O218" s="6">
        <f t="shared" si="30"/>
        <v>0</v>
      </c>
      <c r="P218" s="4">
        <f t="shared" si="31"/>
        <v>4163.833508988514</v>
      </c>
      <c r="T218" s="9">
        <f t="shared" si="32"/>
        <v>50673</v>
      </c>
      <c r="U218" s="5">
        <f t="shared" si="35"/>
        <v>4163.83</v>
      </c>
    </row>
    <row r="219" spans="2:21">
      <c r="B219" s="16">
        <f t="shared" si="36"/>
        <v>202</v>
      </c>
      <c r="C219" s="9">
        <f t="shared" si="37"/>
        <v>50703</v>
      </c>
      <c r="D219" s="6">
        <f>IFERROR((PPMT(Input!$E$55/12,B219,$C$6,Input!$E$54,-Input!$E$65,0))," ")</f>
        <v>-1817.1492168086011</v>
      </c>
      <c r="E219" s="6">
        <f>IFERROR(((IPMT(Input!$E$55/12,B219,$C$6,Input!$E$54,-Input!$E$65,0)))," ")</f>
        <v>-2346.6842921799125</v>
      </c>
      <c r="F219" s="6">
        <f t="shared" si="39"/>
        <v>-303510.27661430009</v>
      </c>
      <c r="G219" s="6">
        <f t="shared" si="38"/>
        <v>-537584.09220137948</v>
      </c>
      <c r="H219" s="6">
        <f t="shared" si="33"/>
        <v>-4163.8335089885131</v>
      </c>
      <c r="I219" s="6">
        <f t="shared" si="34"/>
        <v>1196489.7233857</v>
      </c>
      <c r="J219" s="6" t="str">
        <f>IF(B219&lt;&gt;"",IF(AND(Input!$H$54="Annual",MOD(B219,12)=0),Input!$J$54,IF(AND(Input!$H$54="1st Installment",B219=1),Input!$J$54,IF(Input!$H$54="Monthly",Input!$J$54,""))),"")</f>
        <v/>
      </c>
      <c r="K219" s="6">
        <f>IF(B219&lt;&gt;"",IF(AND(Input!$H$55="Annual",MOD(B219,12)=0),Input!$J$55,IF(AND(Input!$H$55="1st Installment",B219=1),Input!$J$55,IF(Input!$H$55="Monthly",Input!$J$55,""))),"")</f>
        <v>0</v>
      </c>
      <c r="L219" s="6" t="str">
        <f>IF(B219&lt;&gt;"",IF(AND(Input!$H$56="Annual",MOD(B219,12)=0),Input!$J$56,IF(AND(Input!$H$56="1st Installment",B219=1),Input!$J$56,IF(Input!$H$56="Monthly",Input!$J$56,""))),"")</f>
        <v/>
      </c>
      <c r="M219" s="6" t="str">
        <f>IF(B219&lt;&gt;"",IF(AND(Input!$H$57="Annual",MOD(B219,12)=0),Input!$J$57,IF(AND(Input!$H$57="1st Installment",B219=1),Input!$J$57,IF(Input!$H$57="Monthly",Input!$J$57,""))),"")</f>
        <v/>
      </c>
      <c r="N219" s="6" t="str">
        <f>IF(B219&lt;&gt;"",IF(AND(Input!$H$58="Annual",MOD(B219,12)=0),Input!$J$58,IF(AND(Input!$H$58="1st Installment",B219=1),Input!$J$58,IF(Input!$H$58="Monthly",Input!$J$58,IF(AND(Input!$H$58="End of the loan",B219=Input!$E$58),Input!$J$58,"")))),"")</f>
        <v/>
      </c>
      <c r="O219" s="6">
        <f t="shared" si="30"/>
        <v>0</v>
      </c>
      <c r="P219" s="4">
        <f t="shared" si="31"/>
        <v>4163.8335089885131</v>
      </c>
      <c r="T219" s="9">
        <f t="shared" si="32"/>
        <v>50703</v>
      </c>
      <c r="U219" s="5">
        <f t="shared" si="35"/>
        <v>4163.83</v>
      </c>
    </row>
    <row r="220" spans="2:21">
      <c r="B220" s="16">
        <f t="shared" si="36"/>
        <v>203</v>
      </c>
      <c r="C220" s="9">
        <f t="shared" si="37"/>
        <v>50734</v>
      </c>
      <c r="D220" s="6">
        <f>IFERROR((PPMT(Input!$E$55/12,B220,$C$6,Input!$E$54,-Input!$E$65,0))," ")</f>
        <v>-1820.7078006915181</v>
      </c>
      <c r="E220" s="6">
        <f>IFERROR(((IPMT(Input!$E$55/12,B220,$C$6,Input!$E$54,-Input!$E$65,0)))," ")</f>
        <v>-2343.1257082969955</v>
      </c>
      <c r="F220" s="6">
        <f t="shared" si="39"/>
        <v>-305330.98441499163</v>
      </c>
      <c r="G220" s="6">
        <f t="shared" si="38"/>
        <v>-539927.21790967649</v>
      </c>
      <c r="H220" s="6">
        <f t="shared" si="33"/>
        <v>-4163.8335089885131</v>
      </c>
      <c r="I220" s="6">
        <f t="shared" si="34"/>
        <v>1194669.0155850083</v>
      </c>
      <c r="J220" s="6" t="str">
        <f>IF(B220&lt;&gt;"",IF(AND(Input!$H$54="Annual",MOD(B220,12)=0),Input!$J$54,IF(AND(Input!$H$54="1st Installment",B220=1),Input!$J$54,IF(Input!$H$54="Monthly",Input!$J$54,""))),"")</f>
        <v/>
      </c>
      <c r="K220" s="6">
        <f>IF(B220&lt;&gt;"",IF(AND(Input!$H$55="Annual",MOD(B220,12)=0),Input!$J$55,IF(AND(Input!$H$55="1st Installment",B220=1),Input!$J$55,IF(Input!$H$55="Monthly",Input!$J$55,""))),"")</f>
        <v>0</v>
      </c>
      <c r="L220" s="6" t="str">
        <f>IF(B220&lt;&gt;"",IF(AND(Input!$H$56="Annual",MOD(B220,12)=0),Input!$J$56,IF(AND(Input!$H$56="1st Installment",B220=1),Input!$J$56,IF(Input!$H$56="Monthly",Input!$J$56,""))),"")</f>
        <v/>
      </c>
      <c r="M220" s="6" t="str">
        <f>IF(B220&lt;&gt;"",IF(AND(Input!$H$57="Annual",MOD(B220,12)=0),Input!$J$57,IF(AND(Input!$H$57="1st Installment",B220=1),Input!$J$57,IF(Input!$H$57="Monthly",Input!$J$57,""))),"")</f>
        <v/>
      </c>
      <c r="N220" s="6" t="str">
        <f>IF(B220&lt;&gt;"",IF(AND(Input!$H$58="Annual",MOD(B220,12)=0),Input!$J$58,IF(AND(Input!$H$58="1st Installment",B220=1),Input!$J$58,IF(Input!$H$58="Monthly",Input!$J$58,IF(AND(Input!$H$58="End of the loan",B220=Input!$E$58),Input!$J$58,"")))),"")</f>
        <v/>
      </c>
      <c r="O220" s="6">
        <f t="shared" si="30"/>
        <v>0</v>
      </c>
      <c r="P220" s="4">
        <f t="shared" si="31"/>
        <v>4163.8335089885131</v>
      </c>
      <c r="T220" s="9">
        <f t="shared" si="32"/>
        <v>50734</v>
      </c>
      <c r="U220" s="5">
        <f t="shared" si="35"/>
        <v>4163.83</v>
      </c>
    </row>
    <row r="221" spans="2:21">
      <c r="B221" s="16">
        <f t="shared" si="36"/>
        <v>204</v>
      </c>
      <c r="C221" s="9">
        <f t="shared" si="37"/>
        <v>50764</v>
      </c>
      <c r="D221" s="6">
        <f>IFERROR((PPMT(Input!$E$55/12,B221,$C$6,Input!$E$54,-Input!$E$65,0))," ")</f>
        <v>-1824.2733534678721</v>
      </c>
      <c r="E221" s="6">
        <f>IFERROR(((IPMT(Input!$E$55/12,B221,$C$6,Input!$E$54,-Input!$E$65,0)))," ")</f>
        <v>-2339.5601555206417</v>
      </c>
      <c r="F221" s="6">
        <f t="shared" si="39"/>
        <v>-307155.2577684595</v>
      </c>
      <c r="G221" s="6">
        <f t="shared" si="38"/>
        <v>-542266.77806519717</v>
      </c>
      <c r="H221" s="6">
        <f t="shared" si="33"/>
        <v>-4163.833508988514</v>
      </c>
      <c r="I221" s="6">
        <f t="shared" si="34"/>
        <v>1192844.7422315404</v>
      </c>
      <c r="J221" s="6" t="str">
        <f>IF(B221&lt;&gt;"",IF(AND(Input!$H$54="Annual",MOD(B221,12)=0),Input!$J$54,IF(AND(Input!$H$54="1st Installment",B221=1),Input!$J$54,IF(Input!$H$54="Monthly",Input!$J$54,""))),"")</f>
        <v/>
      </c>
      <c r="K221" s="6">
        <f>IF(B221&lt;&gt;"",IF(AND(Input!$H$55="Annual",MOD(B221,12)=0),Input!$J$55,IF(AND(Input!$H$55="1st Installment",B221=1),Input!$J$55,IF(Input!$H$55="Monthly",Input!$J$55,""))),"")</f>
        <v>0</v>
      </c>
      <c r="L221" s="6" t="str">
        <f>IF(B221&lt;&gt;"",IF(AND(Input!$H$56="Annual",MOD(B221,12)=0),Input!$J$56,IF(AND(Input!$H$56="1st Installment",B221=1),Input!$J$56,IF(Input!$H$56="Monthly",Input!$J$56,""))),"")</f>
        <v/>
      </c>
      <c r="M221" s="6" t="str">
        <f>IF(B221&lt;&gt;"",IF(AND(Input!$H$57="Annual",MOD(B221,12)=0),Input!$J$57,IF(AND(Input!$H$57="1st Installment",B221=1),Input!$J$57,IF(Input!$H$57="Monthly",Input!$J$57,""))),"")</f>
        <v/>
      </c>
      <c r="N221" s="6" t="str">
        <f>IF(B221&lt;&gt;"",IF(AND(Input!$H$58="Annual",MOD(B221,12)=0),Input!$J$58,IF(AND(Input!$H$58="1st Installment",B221=1),Input!$J$58,IF(Input!$H$58="Monthly",Input!$J$58,IF(AND(Input!$H$58="End of the loan",B221=Input!$E$58),Input!$J$58,"")))),"")</f>
        <v/>
      </c>
      <c r="O221" s="6">
        <f t="shared" si="30"/>
        <v>0</v>
      </c>
      <c r="P221" s="4">
        <f t="shared" si="31"/>
        <v>4163.833508988514</v>
      </c>
      <c r="T221" s="9">
        <f t="shared" si="32"/>
        <v>50764</v>
      </c>
      <c r="U221" s="5">
        <f t="shared" si="35"/>
        <v>4163.83</v>
      </c>
    </row>
    <row r="222" spans="2:21">
      <c r="B222" s="16">
        <f t="shared" si="36"/>
        <v>205</v>
      </c>
      <c r="C222" s="9">
        <f t="shared" si="37"/>
        <v>50795</v>
      </c>
      <c r="D222" s="6">
        <f>IFERROR((PPMT(Input!$E$55/12,B222,$C$6,Input!$E$54,-Input!$E$65,0))," ")</f>
        <v>-1827.84588878508</v>
      </c>
      <c r="E222" s="6">
        <f>IFERROR(((IPMT(Input!$E$55/12,B222,$C$6,Input!$E$54,-Input!$E$65,0)))," ")</f>
        <v>-2335.9876202034334</v>
      </c>
      <c r="F222" s="6">
        <f t="shared" si="39"/>
        <v>-308983.10365724459</v>
      </c>
      <c r="G222" s="6">
        <f t="shared" si="38"/>
        <v>-544602.76568540058</v>
      </c>
      <c r="H222" s="6">
        <f t="shared" si="33"/>
        <v>-4163.8335089885131</v>
      </c>
      <c r="I222" s="6">
        <f t="shared" si="34"/>
        <v>1191016.8963427553</v>
      </c>
      <c r="J222" s="6" t="str">
        <f>IF(B222&lt;&gt;"",IF(AND(Input!$H$54="Annual",MOD(B222,12)=0),Input!$J$54,IF(AND(Input!$H$54="1st Installment",B222=1),Input!$J$54,IF(Input!$H$54="Monthly",Input!$J$54,""))),"")</f>
        <v/>
      </c>
      <c r="K222" s="6">
        <f>IF(B222&lt;&gt;"",IF(AND(Input!$H$55="Annual",MOD(B222,12)=0),Input!$J$55,IF(AND(Input!$H$55="1st Installment",B222=1),Input!$J$55,IF(Input!$H$55="Monthly",Input!$J$55,""))),"")</f>
        <v>0</v>
      </c>
      <c r="L222" s="6" t="str">
        <f>IF(B222&lt;&gt;"",IF(AND(Input!$H$56="Annual",MOD(B222,12)=0),Input!$J$56,IF(AND(Input!$H$56="1st Installment",B222=1),Input!$J$56,IF(Input!$H$56="Monthly",Input!$J$56,""))),"")</f>
        <v/>
      </c>
      <c r="M222" s="6" t="str">
        <f>IF(B222&lt;&gt;"",IF(AND(Input!$H$57="Annual",MOD(B222,12)=0),Input!$J$57,IF(AND(Input!$H$57="1st Installment",B222=1),Input!$J$57,IF(Input!$H$57="Monthly",Input!$J$57,""))),"")</f>
        <v/>
      </c>
      <c r="N222" s="6" t="str">
        <f>IF(B222&lt;&gt;"",IF(AND(Input!$H$58="Annual",MOD(B222,12)=0),Input!$J$58,IF(AND(Input!$H$58="1st Installment",B222=1),Input!$J$58,IF(Input!$H$58="Monthly",Input!$J$58,IF(AND(Input!$H$58="End of the loan",B222=Input!$E$58),Input!$J$58,"")))),"")</f>
        <v/>
      </c>
      <c r="O222" s="6">
        <f t="shared" si="30"/>
        <v>0</v>
      </c>
      <c r="P222" s="4">
        <f t="shared" si="31"/>
        <v>4163.8335089885131</v>
      </c>
      <c r="T222" s="9">
        <f t="shared" si="32"/>
        <v>50795</v>
      </c>
      <c r="U222" s="5">
        <f t="shared" si="35"/>
        <v>4163.83</v>
      </c>
    </row>
    <row r="223" spans="2:21">
      <c r="B223" s="16">
        <f t="shared" si="36"/>
        <v>206</v>
      </c>
      <c r="C223" s="9">
        <f t="shared" si="37"/>
        <v>50826</v>
      </c>
      <c r="D223" s="6">
        <f>IFERROR((PPMT(Input!$E$55/12,B223,$C$6,Input!$E$54,-Input!$E$65,0))," ")</f>
        <v>-1831.4254203172843</v>
      </c>
      <c r="E223" s="6">
        <f>IFERROR(((IPMT(Input!$E$55/12,B223,$C$6,Input!$E$54,-Input!$E$65,0)))," ")</f>
        <v>-2332.4080886712295</v>
      </c>
      <c r="F223" s="6">
        <f t="shared" si="39"/>
        <v>-310814.52907756186</v>
      </c>
      <c r="G223" s="6">
        <f t="shared" si="38"/>
        <v>-546935.17377407185</v>
      </c>
      <c r="H223" s="6">
        <f t="shared" si="33"/>
        <v>-4163.833508988514</v>
      </c>
      <c r="I223" s="6">
        <f t="shared" si="34"/>
        <v>1189185.4709224382</v>
      </c>
      <c r="J223" s="6" t="str">
        <f>IF(B223&lt;&gt;"",IF(AND(Input!$H$54="Annual",MOD(B223,12)=0),Input!$J$54,IF(AND(Input!$H$54="1st Installment",B223=1),Input!$J$54,IF(Input!$H$54="Monthly",Input!$J$54,""))),"")</f>
        <v/>
      </c>
      <c r="K223" s="6">
        <f>IF(B223&lt;&gt;"",IF(AND(Input!$H$55="Annual",MOD(B223,12)=0),Input!$J$55,IF(AND(Input!$H$55="1st Installment",B223=1),Input!$J$55,IF(Input!$H$55="Monthly",Input!$J$55,""))),"")</f>
        <v>0</v>
      </c>
      <c r="L223" s="6" t="str">
        <f>IF(B223&lt;&gt;"",IF(AND(Input!$H$56="Annual",MOD(B223,12)=0),Input!$J$56,IF(AND(Input!$H$56="1st Installment",B223=1),Input!$J$56,IF(Input!$H$56="Monthly",Input!$J$56,""))),"")</f>
        <v/>
      </c>
      <c r="M223" s="6" t="str">
        <f>IF(B223&lt;&gt;"",IF(AND(Input!$H$57="Annual",MOD(B223,12)=0),Input!$J$57,IF(AND(Input!$H$57="1st Installment",B223=1),Input!$J$57,IF(Input!$H$57="Monthly",Input!$J$57,""))),"")</f>
        <v/>
      </c>
      <c r="N223" s="6" t="str">
        <f>IF(B223&lt;&gt;"",IF(AND(Input!$H$58="Annual",MOD(B223,12)=0),Input!$J$58,IF(AND(Input!$H$58="1st Installment",B223=1),Input!$J$58,IF(Input!$H$58="Monthly",Input!$J$58,IF(AND(Input!$H$58="End of the loan",B223=Input!$E$58),Input!$J$58,"")))),"")</f>
        <v/>
      </c>
      <c r="O223" s="6">
        <f t="shared" si="30"/>
        <v>0</v>
      </c>
      <c r="P223" s="4">
        <f t="shared" si="31"/>
        <v>4163.833508988514</v>
      </c>
      <c r="T223" s="9">
        <f t="shared" si="32"/>
        <v>50826</v>
      </c>
      <c r="U223" s="5">
        <f t="shared" si="35"/>
        <v>4163.83</v>
      </c>
    </row>
    <row r="224" spans="2:21">
      <c r="B224" s="16">
        <f t="shared" si="36"/>
        <v>207</v>
      </c>
      <c r="C224" s="9">
        <f t="shared" si="37"/>
        <v>50854</v>
      </c>
      <c r="D224" s="6">
        <f>IFERROR((PPMT(Input!$E$55/12,B224,$C$6,Input!$E$54,-Input!$E$65,0))," ")</f>
        <v>-1835.0119617654057</v>
      </c>
      <c r="E224" s="6">
        <f>IFERROR(((IPMT(Input!$E$55/12,B224,$C$6,Input!$E$54,-Input!$E$65,0)))," ")</f>
        <v>-2328.8215472231082</v>
      </c>
      <c r="F224" s="6">
        <f t="shared" si="39"/>
        <v>-312649.54103932728</v>
      </c>
      <c r="G224" s="6">
        <f t="shared" si="38"/>
        <v>-549263.99532129499</v>
      </c>
      <c r="H224" s="6">
        <f t="shared" si="33"/>
        <v>-4163.833508988514</v>
      </c>
      <c r="I224" s="6">
        <f t="shared" si="34"/>
        <v>1187350.4589606728</v>
      </c>
      <c r="J224" s="6" t="str">
        <f>IF(B224&lt;&gt;"",IF(AND(Input!$H$54="Annual",MOD(B224,12)=0),Input!$J$54,IF(AND(Input!$H$54="1st Installment",B224=1),Input!$J$54,IF(Input!$H$54="Monthly",Input!$J$54,""))),"")</f>
        <v/>
      </c>
      <c r="K224" s="6">
        <f>IF(B224&lt;&gt;"",IF(AND(Input!$H$55="Annual",MOD(B224,12)=0),Input!$J$55,IF(AND(Input!$H$55="1st Installment",B224=1),Input!$J$55,IF(Input!$H$55="Monthly",Input!$J$55,""))),"")</f>
        <v>0</v>
      </c>
      <c r="L224" s="6" t="str">
        <f>IF(B224&lt;&gt;"",IF(AND(Input!$H$56="Annual",MOD(B224,12)=0),Input!$J$56,IF(AND(Input!$H$56="1st Installment",B224=1),Input!$J$56,IF(Input!$H$56="Monthly",Input!$J$56,""))),"")</f>
        <v/>
      </c>
      <c r="M224" s="6" t="str">
        <f>IF(B224&lt;&gt;"",IF(AND(Input!$H$57="Annual",MOD(B224,12)=0),Input!$J$57,IF(AND(Input!$H$57="1st Installment",B224=1),Input!$J$57,IF(Input!$H$57="Monthly",Input!$J$57,""))),"")</f>
        <v/>
      </c>
      <c r="N224" s="6" t="str">
        <f>IF(B224&lt;&gt;"",IF(AND(Input!$H$58="Annual",MOD(B224,12)=0),Input!$J$58,IF(AND(Input!$H$58="1st Installment",B224=1),Input!$J$58,IF(Input!$H$58="Monthly",Input!$J$58,IF(AND(Input!$H$58="End of the loan",B224=Input!$E$58),Input!$J$58,"")))),"")</f>
        <v/>
      </c>
      <c r="O224" s="6">
        <f t="shared" si="30"/>
        <v>0</v>
      </c>
      <c r="P224" s="4">
        <f t="shared" si="31"/>
        <v>4163.833508988514</v>
      </c>
      <c r="T224" s="9">
        <f t="shared" si="32"/>
        <v>50854</v>
      </c>
      <c r="U224" s="5">
        <f t="shared" si="35"/>
        <v>4163.83</v>
      </c>
    </row>
    <row r="225" spans="2:21">
      <c r="B225" s="16">
        <f t="shared" si="36"/>
        <v>208</v>
      </c>
      <c r="C225" s="9">
        <f t="shared" si="37"/>
        <v>50885</v>
      </c>
      <c r="D225" s="6">
        <f>IFERROR((PPMT(Input!$E$55/12,B225,$C$6,Input!$E$54,-Input!$E$65,0))," ")</f>
        <v>-1838.6055268571963</v>
      </c>
      <c r="E225" s="6">
        <f>IFERROR(((IPMT(Input!$E$55/12,B225,$C$6,Input!$E$54,-Input!$E$65,0)))," ")</f>
        <v>-2325.2279821313173</v>
      </c>
      <c r="F225" s="6">
        <f t="shared" si="39"/>
        <v>-314488.14656618447</v>
      </c>
      <c r="G225" s="6">
        <f t="shared" si="38"/>
        <v>-551589.22330342629</v>
      </c>
      <c r="H225" s="6">
        <f t="shared" si="33"/>
        <v>-4163.8335089885131</v>
      </c>
      <c r="I225" s="6">
        <f t="shared" si="34"/>
        <v>1185511.8534338155</v>
      </c>
      <c r="J225" s="6" t="str">
        <f>IF(B225&lt;&gt;"",IF(AND(Input!$H$54="Annual",MOD(B225,12)=0),Input!$J$54,IF(AND(Input!$H$54="1st Installment",B225=1),Input!$J$54,IF(Input!$H$54="Monthly",Input!$J$54,""))),"")</f>
        <v/>
      </c>
      <c r="K225" s="6">
        <f>IF(B225&lt;&gt;"",IF(AND(Input!$H$55="Annual",MOD(B225,12)=0),Input!$J$55,IF(AND(Input!$H$55="1st Installment",B225=1),Input!$J$55,IF(Input!$H$55="Monthly",Input!$J$55,""))),"")</f>
        <v>0</v>
      </c>
      <c r="L225" s="6" t="str">
        <f>IF(B225&lt;&gt;"",IF(AND(Input!$H$56="Annual",MOD(B225,12)=0),Input!$J$56,IF(AND(Input!$H$56="1st Installment",B225=1),Input!$J$56,IF(Input!$H$56="Monthly",Input!$J$56,""))),"")</f>
        <v/>
      </c>
      <c r="M225" s="6" t="str">
        <f>IF(B225&lt;&gt;"",IF(AND(Input!$H$57="Annual",MOD(B225,12)=0),Input!$J$57,IF(AND(Input!$H$57="1st Installment",B225=1),Input!$J$57,IF(Input!$H$57="Monthly",Input!$J$57,""))),"")</f>
        <v/>
      </c>
      <c r="N225" s="6" t="str">
        <f>IF(B225&lt;&gt;"",IF(AND(Input!$H$58="Annual",MOD(B225,12)=0),Input!$J$58,IF(AND(Input!$H$58="1st Installment",B225=1),Input!$J$58,IF(Input!$H$58="Monthly",Input!$J$58,IF(AND(Input!$H$58="End of the loan",B225=Input!$E$58),Input!$J$58,"")))),"")</f>
        <v/>
      </c>
      <c r="O225" s="6">
        <f t="shared" si="30"/>
        <v>0</v>
      </c>
      <c r="P225" s="4">
        <f t="shared" si="31"/>
        <v>4163.8335089885131</v>
      </c>
      <c r="T225" s="9">
        <f t="shared" si="32"/>
        <v>50885</v>
      </c>
      <c r="U225" s="5">
        <f t="shared" si="35"/>
        <v>4163.83</v>
      </c>
    </row>
    <row r="226" spans="2:21">
      <c r="B226" s="16">
        <f t="shared" si="36"/>
        <v>209</v>
      </c>
      <c r="C226" s="9">
        <f t="shared" si="37"/>
        <v>50915</v>
      </c>
      <c r="D226" s="6">
        <f>IFERROR((PPMT(Input!$E$55/12,B226,$C$6,Input!$E$54,-Input!$E$65,0))," ")</f>
        <v>-1842.2061293472916</v>
      </c>
      <c r="E226" s="6">
        <f>IFERROR(((IPMT(Input!$E$55/12,B226,$C$6,Input!$E$54,-Input!$E$65,0)))," ")</f>
        <v>-2321.6273796412224</v>
      </c>
      <c r="F226" s="6">
        <f t="shared" si="39"/>
        <v>-316330.35269553174</v>
      </c>
      <c r="G226" s="6">
        <f t="shared" si="38"/>
        <v>-553910.85068306746</v>
      </c>
      <c r="H226" s="6">
        <f t="shared" si="33"/>
        <v>-4163.833508988514</v>
      </c>
      <c r="I226" s="6">
        <f t="shared" si="34"/>
        <v>1183669.6473044683</v>
      </c>
      <c r="J226" s="6" t="str">
        <f>IF(B226&lt;&gt;"",IF(AND(Input!$H$54="Annual",MOD(B226,12)=0),Input!$J$54,IF(AND(Input!$H$54="1st Installment",B226=1),Input!$J$54,IF(Input!$H$54="Monthly",Input!$J$54,""))),"")</f>
        <v/>
      </c>
      <c r="K226" s="6">
        <f>IF(B226&lt;&gt;"",IF(AND(Input!$H$55="Annual",MOD(B226,12)=0),Input!$J$55,IF(AND(Input!$H$55="1st Installment",B226=1),Input!$J$55,IF(Input!$H$55="Monthly",Input!$J$55,""))),"")</f>
        <v>0</v>
      </c>
      <c r="L226" s="6" t="str">
        <f>IF(B226&lt;&gt;"",IF(AND(Input!$H$56="Annual",MOD(B226,12)=0),Input!$J$56,IF(AND(Input!$H$56="1st Installment",B226=1),Input!$J$56,IF(Input!$H$56="Monthly",Input!$J$56,""))),"")</f>
        <v/>
      </c>
      <c r="M226" s="6" t="str">
        <f>IF(B226&lt;&gt;"",IF(AND(Input!$H$57="Annual",MOD(B226,12)=0),Input!$J$57,IF(AND(Input!$H$57="1st Installment",B226=1),Input!$J$57,IF(Input!$H$57="Monthly",Input!$J$57,""))),"")</f>
        <v/>
      </c>
      <c r="N226" s="6" t="str">
        <f>IF(B226&lt;&gt;"",IF(AND(Input!$H$58="Annual",MOD(B226,12)=0),Input!$J$58,IF(AND(Input!$H$58="1st Installment",B226=1),Input!$J$58,IF(Input!$H$58="Monthly",Input!$J$58,IF(AND(Input!$H$58="End of the loan",B226=Input!$E$58),Input!$J$58,"")))),"")</f>
        <v/>
      </c>
      <c r="O226" s="6">
        <f t="shared" si="30"/>
        <v>0</v>
      </c>
      <c r="P226" s="4">
        <f t="shared" si="31"/>
        <v>4163.833508988514</v>
      </c>
      <c r="T226" s="9">
        <f t="shared" si="32"/>
        <v>50915</v>
      </c>
      <c r="U226" s="5">
        <f t="shared" si="35"/>
        <v>4163.83</v>
      </c>
    </row>
    <row r="227" spans="2:21">
      <c r="B227" s="16">
        <f t="shared" si="36"/>
        <v>210</v>
      </c>
      <c r="C227" s="9">
        <f t="shared" si="37"/>
        <v>50946</v>
      </c>
      <c r="D227" s="6">
        <f>IFERROR((PPMT(Input!$E$55/12,B227,$C$6,Input!$E$54,-Input!$E$65,0))," ")</f>
        <v>-1845.8137830172632</v>
      </c>
      <c r="E227" s="6">
        <f>IFERROR(((IPMT(Input!$E$55/12,B227,$C$6,Input!$E$54,-Input!$E$65,0)))," ")</f>
        <v>-2318.0197259712504</v>
      </c>
      <c r="F227" s="6">
        <f t="shared" si="39"/>
        <v>-318176.16647854901</v>
      </c>
      <c r="G227" s="6">
        <f t="shared" si="38"/>
        <v>-556228.87040903873</v>
      </c>
      <c r="H227" s="6">
        <f t="shared" si="33"/>
        <v>-4163.8335089885131</v>
      </c>
      <c r="I227" s="6">
        <f t="shared" si="34"/>
        <v>1181823.8335214509</v>
      </c>
      <c r="J227" s="6" t="str">
        <f>IF(B227&lt;&gt;"",IF(AND(Input!$H$54="Annual",MOD(B227,12)=0),Input!$J$54,IF(AND(Input!$H$54="1st Installment",B227=1),Input!$J$54,IF(Input!$H$54="Monthly",Input!$J$54,""))),"")</f>
        <v/>
      </c>
      <c r="K227" s="6">
        <f>IF(B227&lt;&gt;"",IF(AND(Input!$H$55="Annual",MOD(B227,12)=0),Input!$J$55,IF(AND(Input!$H$55="1st Installment",B227=1),Input!$J$55,IF(Input!$H$55="Monthly",Input!$J$55,""))),"")</f>
        <v>0</v>
      </c>
      <c r="L227" s="6" t="str">
        <f>IF(B227&lt;&gt;"",IF(AND(Input!$H$56="Annual",MOD(B227,12)=0),Input!$J$56,IF(AND(Input!$H$56="1st Installment",B227=1),Input!$J$56,IF(Input!$H$56="Monthly",Input!$J$56,""))),"")</f>
        <v/>
      </c>
      <c r="M227" s="6" t="str">
        <f>IF(B227&lt;&gt;"",IF(AND(Input!$H$57="Annual",MOD(B227,12)=0),Input!$J$57,IF(AND(Input!$H$57="1st Installment",B227=1),Input!$J$57,IF(Input!$H$57="Monthly",Input!$J$57,""))),"")</f>
        <v/>
      </c>
      <c r="N227" s="6" t="str">
        <f>IF(B227&lt;&gt;"",IF(AND(Input!$H$58="Annual",MOD(B227,12)=0),Input!$J$58,IF(AND(Input!$H$58="1st Installment",B227=1),Input!$J$58,IF(Input!$H$58="Monthly",Input!$J$58,IF(AND(Input!$H$58="End of the loan",B227=Input!$E$58),Input!$J$58,"")))),"")</f>
        <v/>
      </c>
      <c r="O227" s="6">
        <f t="shared" si="30"/>
        <v>0</v>
      </c>
      <c r="P227" s="4">
        <f t="shared" si="31"/>
        <v>4163.8335089885131</v>
      </c>
      <c r="T227" s="9">
        <f t="shared" si="32"/>
        <v>50946</v>
      </c>
      <c r="U227" s="5">
        <f t="shared" si="35"/>
        <v>4163.83</v>
      </c>
    </row>
    <row r="228" spans="2:21">
      <c r="B228" s="16">
        <f t="shared" si="36"/>
        <v>211</v>
      </c>
      <c r="C228" s="9">
        <f t="shared" si="37"/>
        <v>50976</v>
      </c>
      <c r="D228" s="6">
        <f>IFERROR((PPMT(Input!$E$55/12,B228,$C$6,Input!$E$54,-Input!$E$65,0))," ")</f>
        <v>-1849.4285016756719</v>
      </c>
      <c r="E228" s="6">
        <f>IFERROR(((IPMT(Input!$E$55/12,B228,$C$6,Input!$E$54,-Input!$E$65,0)))," ")</f>
        <v>-2314.4050073128415</v>
      </c>
      <c r="F228" s="6">
        <f t="shared" si="39"/>
        <v>-320025.59498022468</v>
      </c>
      <c r="G228" s="6">
        <f t="shared" si="38"/>
        <v>-558543.27541635162</v>
      </c>
      <c r="H228" s="6">
        <f t="shared" si="33"/>
        <v>-4163.8335089885131</v>
      </c>
      <c r="I228" s="6">
        <f t="shared" si="34"/>
        <v>1179974.4050197753</v>
      </c>
      <c r="J228" s="6" t="str">
        <f>IF(B228&lt;&gt;"",IF(AND(Input!$H$54="Annual",MOD(B228,12)=0),Input!$J$54,IF(AND(Input!$H$54="1st Installment",B228=1),Input!$J$54,IF(Input!$H$54="Monthly",Input!$J$54,""))),"")</f>
        <v/>
      </c>
      <c r="K228" s="6">
        <f>IF(B228&lt;&gt;"",IF(AND(Input!$H$55="Annual",MOD(B228,12)=0),Input!$J$55,IF(AND(Input!$H$55="1st Installment",B228=1),Input!$J$55,IF(Input!$H$55="Monthly",Input!$J$55,""))),"")</f>
        <v>0</v>
      </c>
      <c r="L228" s="6" t="str">
        <f>IF(B228&lt;&gt;"",IF(AND(Input!$H$56="Annual",MOD(B228,12)=0),Input!$J$56,IF(AND(Input!$H$56="1st Installment",B228=1),Input!$J$56,IF(Input!$H$56="Monthly",Input!$J$56,""))),"")</f>
        <v/>
      </c>
      <c r="M228" s="6" t="str">
        <f>IF(B228&lt;&gt;"",IF(AND(Input!$H$57="Annual",MOD(B228,12)=0),Input!$J$57,IF(AND(Input!$H$57="1st Installment",B228=1),Input!$J$57,IF(Input!$H$57="Monthly",Input!$J$57,""))),"")</f>
        <v/>
      </c>
      <c r="N228" s="6" t="str">
        <f>IF(B228&lt;&gt;"",IF(AND(Input!$H$58="Annual",MOD(B228,12)=0),Input!$J$58,IF(AND(Input!$H$58="1st Installment",B228=1),Input!$J$58,IF(Input!$H$58="Monthly",Input!$J$58,IF(AND(Input!$H$58="End of the loan",B228=Input!$E$58),Input!$J$58,"")))),"")</f>
        <v/>
      </c>
      <c r="O228" s="6">
        <f t="shared" si="30"/>
        <v>0</v>
      </c>
      <c r="P228" s="4">
        <f t="shared" si="31"/>
        <v>4163.8335089885131</v>
      </c>
      <c r="T228" s="9">
        <f t="shared" si="32"/>
        <v>50976</v>
      </c>
      <c r="U228" s="5">
        <f t="shared" si="35"/>
        <v>4163.83</v>
      </c>
    </row>
    <row r="229" spans="2:21">
      <c r="B229" s="16">
        <f t="shared" si="36"/>
        <v>212</v>
      </c>
      <c r="C229" s="9">
        <f t="shared" si="37"/>
        <v>51007</v>
      </c>
      <c r="D229" s="6">
        <f>IFERROR((PPMT(Input!$E$55/12,B229,$C$6,Input!$E$54,-Input!$E$65,0))," ")</f>
        <v>-1853.0502991581202</v>
      </c>
      <c r="E229" s="6">
        <f>IFERROR(((IPMT(Input!$E$55/12,B229,$C$6,Input!$E$54,-Input!$E$65,0)))," ")</f>
        <v>-2310.7832098303934</v>
      </c>
      <c r="F229" s="6">
        <f t="shared" si="39"/>
        <v>-321878.64527938282</v>
      </c>
      <c r="G229" s="6">
        <f t="shared" si="38"/>
        <v>-560854.05862618203</v>
      </c>
      <c r="H229" s="6">
        <f t="shared" si="33"/>
        <v>-4163.8335089885131</v>
      </c>
      <c r="I229" s="6">
        <f t="shared" si="34"/>
        <v>1178121.3547206172</v>
      </c>
      <c r="J229" s="6" t="str">
        <f>IF(B229&lt;&gt;"",IF(AND(Input!$H$54="Annual",MOD(B229,12)=0),Input!$J$54,IF(AND(Input!$H$54="1st Installment",B229=1),Input!$J$54,IF(Input!$H$54="Monthly",Input!$J$54,""))),"")</f>
        <v/>
      </c>
      <c r="K229" s="6">
        <f>IF(B229&lt;&gt;"",IF(AND(Input!$H$55="Annual",MOD(B229,12)=0),Input!$J$55,IF(AND(Input!$H$55="1st Installment",B229=1),Input!$J$55,IF(Input!$H$55="Monthly",Input!$J$55,""))),"")</f>
        <v>0</v>
      </c>
      <c r="L229" s="6" t="str">
        <f>IF(B229&lt;&gt;"",IF(AND(Input!$H$56="Annual",MOD(B229,12)=0),Input!$J$56,IF(AND(Input!$H$56="1st Installment",B229=1),Input!$J$56,IF(Input!$H$56="Monthly",Input!$J$56,""))),"")</f>
        <v/>
      </c>
      <c r="M229" s="6" t="str">
        <f>IF(B229&lt;&gt;"",IF(AND(Input!$H$57="Annual",MOD(B229,12)=0),Input!$J$57,IF(AND(Input!$H$57="1st Installment",B229=1),Input!$J$57,IF(Input!$H$57="Monthly",Input!$J$57,""))),"")</f>
        <v/>
      </c>
      <c r="N229" s="6" t="str">
        <f>IF(B229&lt;&gt;"",IF(AND(Input!$H$58="Annual",MOD(B229,12)=0),Input!$J$58,IF(AND(Input!$H$58="1st Installment",B229=1),Input!$J$58,IF(Input!$H$58="Monthly",Input!$J$58,IF(AND(Input!$H$58="End of the loan",B229=Input!$E$58),Input!$J$58,"")))),"")</f>
        <v/>
      </c>
      <c r="O229" s="6">
        <f t="shared" si="30"/>
        <v>0</v>
      </c>
      <c r="P229" s="4">
        <f t="shared" si="31"/>
        <v>4163.8335089885131</v>
      </c>
      <c r="T229" s="9">
        <f t="shared" si="32"/>
        <v>51007</v>
      </c>
      <c r="U229" s="5">
        <f t="shared" si="35"/>
        <v>4163.83</v>
      </c>
    </row>
    <row r="230" spans="2:21">
      <c r="B230" s="16">
        <f t="shared" si="36"/>
        <v>213</v>
      </c>
      <c r="C230" s="9">
        <f t="shared" si="37"/>
        <v>51038</v>
      </c>
      <c r="D230" s="6">
        <f>IFERROR((PPMT(Input!$E$55/12,B230,$C$6,Input!$E$54,-Input!$E$65,0))," ")</f>
        <v>-1856.679189327305</v>
      </c>
      <c r="E230" s="6">
        <f>IFERROR(((IPMT(Input!$E$55/12,B230,$C$6,Input!$E$54,-Input!$E$65,0)))," ")</f>
        <v>-2307.1543196612088</v>
      </c>
      <c r="F230" s="6">
        <f t="shared" si="39"/>
        <v>-323735.32446871011</v>
      </c>
      <c r="G230" s="6">
        <f t="shared" si="38"/>
        <v>-563161.21294584323</v>
      </c>
      <c r="H230" s="6">
        <f t="shared" si="33"/>
        <v>-4163.833508988514</v>
      </c>
      <c r="I230" s="6">
        <f t="shared" si="34"/>
        <v>1176264.67553129</v>
      </c>
      <c r="J230" s="6" t="str">
        <f>IF(B230&lt;&gt;"",IF(AND(Input!$H$54="Annual",MOD(B230,12)=0),Input!$J$54,IF(AND(Input!$H$54="1st Installment",B230=1),Input!$J$54,IF(Input!$H$54="Monthly",Input!$J$54,""))),"")</f>
        <v/>
      </c>
      <c r="K230" s="6">
        <f>IF(B230&lt;&gt;"",IF(AND(Input!$H$55="Annual",MOD(B230,12)=0),Input!$J$55,IF(AND(Input!$H$55="1st Installment",B230=1),Input!$J$55,IF(Input!$H$55="Monthly",Input!$J$55,""))),"")</f>
        <v>0</v>
      </c>
      <c r="L230" s="6" t="str">
        <f>IF(B230&lt;&gt;"",IF(AND(Input!$H$56="Annual",MOD(B230,12)=0),Input!$J$56,IF(AND(Input!$H$56="1st Installment",B230=1),Input!$J$56,IF(Input!$H$56="Monthly",Input!$J$56,""))),"")</f>
        <v/>
      </c>
      <c r="M230" s="6" t="str">
        <f>IF(B230&lt;&gt;"",IF(AND(Input!$H$57="Annual",MOD(B230,12)=0),Input!$J$57,IF(AND(Input!$H$57="1st Installment",B230=1),Input!$J$57,IF(Input!$H$57="Monthly",Input!$J$57,""))),"")</f>
        <v/>
      </c>
      <c r="N230" s="6" t="str">
        <f>IF(B230&lt;&gt;"",IF(AND(Input!$H$58="Annual",MOD(B230,12)=0),Input!$J$58,IF(AND(Input!$H$58="1st Installment",B230=1),Input!$J$58,IF(Input!$H$58="Monthly",Input!$J$58,IF(AND(Input!$H$58="End of the loan",B230=Input!$E$58),Input!$J$58,"")))),"")</f>
        <v/>
      </c>
      <c r="O230" s="6">
        <f t="shared" si="30"/>
        <v>0</v>
      </c>
      <c r="P230" s="4">
        <f t="shared" si="31"/>
        <v>4163.833508988514</v>
      </c>
      <c r="T230" s="9">
        <f t="shared" si="32"/>
        <v>51038</v>
      </c>
      <c r="U230" s="5">
        <f t="shared" si="35"/>
        <v>4163.83</v>
      </c>
    </row>
    <row r="231" spans="2:21">
      <c r="B231" s="16">
        <f t="shared" si="36"/>
        <v>214</v>
      </c>
      <c r="C231" s="9">
        <f t="shared" si="37"/>
        <v>51068</v>
      </c>
      <c r="D231" s="6">
        <f>IFERROR((PPMT(Input!$E$55/12,B231,$C$6,Input!$E$54,-Input!$E$65,0))," ")</f>
        <v>-1860.3151860730709</v>
      </c>
      <c r="E231" s="6">
        <f>IFERROR(((IPMT(Input!$E$55/12,B231,$C$6,Input!$E$54,-Input!$E$65,0)))," ")</f>
        <v>-2303.5183229154427</v>
      </c>
      <c r="F231" s="6">
        <f t="shared" si="39"/>
        <v>-325595.63965478318</v>
      </c>
      <c r="G231" s="6">
        <f t="shared" si="38"/>
        <v>-565464.73126875865</v>
      </c>
      <c r="H231" s="6">
        <f t="shared" si="33"/>
        <v>-4163.8335089885131</v>
      </c>
      <c r="I231" s="6">
        <f t="shared" si="34"/>
        <v>1174404.3603452169</v>
      </c>
      <c r="J231" s="6" t="str">
        <f>IF(B231&lt;&gt;"",IF(AND(Input!$H$54="Annual",MOD(B231,12)=0),Input!$J$54,IF(AND(Input!$H$54="1st Installment",B231=1),Input!$J$54,IF(Input!$H$54="Monthly",Input!$J$54,""))),"")</f>
        <v/>
      </c>
      <c r="K231" s="6">
        <f>IF(B231&lt;&gt;"",IF(AND(Input!$H$55="Annual",MOD(B231,12)=0),Input!$J$55,IF(AND(Input!$H$55="1st Installment",B231=1),Input!$J$55,IF(Input!$H$55="Monthly",Input!$J$55,""))),"")</f>
        <v>0</v>
      </c>
      <c r="L231" s="6" t="str">
        <f>IF(B231&lt;&gt;"",IF(AND(Input!$H$56="Annual",MOD(B231,12)=0),Input!$J$56,IF(AND(Input!$H$56="1st Installment",B231=1),Input!$J$56,IF(Input!$H$56="Monthly",Input!$J$56,""))),"")</f>
        <v/>
      </c>
      <c r="M231" s="6" t="str">
        <f>IF(B231&lt;&gt;"",IF(AND(Input!$H$57="Annual",MOD(B231,12)=0),Input!$J$57,IF(AND(Input!$H$57="1st Installment",B231=1),Input!$J$57,IF(Input!$H$57="Monthly",Input!$J$57,""))),"")</f>
        <v/>
      </c>
      <c r="N231" s="6" t="str">
        <f>IF(B231&lt;&gt;"",IF(AND(Input!$H$58="Annual",MOD(B231,12)=0),Input!$J$58,IF(AND(Input!$H$58="1st Installment",B231=1),Input!$J$58,IF(Input!$H$58="Monthly",Input!$J$58,IF(AND(Input!$H$58="End of the loan",B231=Input!$E$58),Input!$J$58,"")))),"")</f>
        <v/>
      </c>
      <c r="O231" s="6">
        <f t="shared" si="30"/>
        <v>0</v>
      </c>
      <c r="P231" s="4">
        <f t="shared" si="31"/>
        <v>4163.8335089885131</v>
      </c>
      <c r="T231" s="9">
        <f t="shared" si="32"/>
        <v>51068</v>
      </c>
      <c r="U231" s="5">
        <f t="shared" si="35"/>
        <v>4163.83</v>
      </c>
    </row>
    <row r="232" spans="2:21">
      <c r="B232" s="16">
        <f t="shared" si="36"/>
        <v>215</v>
      </c>
      <c r="C232" s="9">
        <f t="shared" si="37"/>
        <v>51099</v>
      </c>
      <c r="D232" s="6">
        <f>IFERROR((PPMT(Input!$E$55/12,B232,$C$6,Input!$E$54,-Input!$E$65,0))," ")</f>
        <v>-1863.9583033124641</v>
      </c>
      <c r="E232" s="6">
        <f>IFERROR(((IPMT(Input!$E$55/12,B232,$C$6,Input!$E$54,-Input!$E$65,0)))," ")</f>
        <v>-2299.8752056760495</v>
      </c>
      <c r="F232" s="6">
        <f t="shared" si="39"/>
        <v>-327459.59795809566</v>
      </c>
      <c r="G232" s="6">
        <f t="shared" si="38"/>
        <v>-567764.60647443472</v>
      </c>
      <c r="H232" s="6">
        <f t="shared" si="33"/>
        <v>-4163.8335089885131</v>
      </c>
      <c r="I232" s="6">
        <f t="shared" si="34"/>
        <v>1172540.4020419044</v>
      </c>
      <c r="J232" s="6" t="str">
        <f>IF(B232&lt;&gt;"",IF(AND(Input!$H$54="Annual",MOD(B232,12)=0),Input!$J$54,IF(AND(Input!$H$54="1st Installment",B232=1),Input!$J$54,IF(Input!$H$54="Monthly",Input!$J$54,""))),"")</f>
        <v/>
      </c>
      <c r="K232" s="6">
        <f>IF(B232&lt;&gt;"",IF(AND(Input!$H$55="Annual",MOD(B232,12)=0),Input!$J$55,IF(AND(Input!$H$55="1st Installment",B232=1),Input!$J$55,IF(Input!$H$55="Monthly",Input!$J$55,""))),"")</f>
        <v>0</v>
      </c>
      <c r="L232" s="6" t="str">
        <f>IF(B232&lt;&gt;"",IF(AND(Input!$H$56="Annual",MOD(B232,12)=0),Input!$J$56,IF(AND(Input!$H$56="1st Installment",B232=1),Input!$J$56,IF(Input!$H$56="Monthly",Input!$J$56,""))),"")</f>
        <v/>
      </c>
      <c r="M232" s="6" t="str">
        <f>IF(B232&lt;&gt;"",IF(AND(Input!$H$57="Annual",MOD(B232,12)=0),Input!$J$57,IF(AND(Input!$H$57="1st Installment",B232=1),Input!$J$57,IF(Input!$H$57="Monthly",Input!$J$57,""))),"")</f>
        <v/>
      </c>
      <c r="N232" s="6" t="str">
        <f>IF(B232&lt;&gt;"",IF(AND(Input!$H$58="Annual",MOD(B232,12)=0),Input!$J$58,IF(AND(Input!$H$58="1st Installment",B232=1),Input!$J$58,IF(Input!$H$58="Monthly",Input!$J$58,IF(AND(Input!$H$58="End of the loan",B232=Input!$E$58),Input!$J$58,"")))),"")</f>
        <v/>
      </c>
      <c r="O232" s="6">
        <f t="shared" si="30"/>
        <v>0</v>
      </c>
      <c r="P232" s="4">
        <f t="shared" si="31"/>
        <v>4163.8335089885131</v>
      </c>
      <c r="T232" s="9">
        <f t="shared" si="32"/>
        <v>51099</v>
      </c>
      <c r="U232" s="5">
        <f t="shared" si="35"/>
        <v>4163.83</v>
      </c>
    </row>
    <row r="233" spans="2:21">
      <c r="B233" s="16">
        <f t="shared" si="36"/>
        <v>216</v>
      </c>
      <c r="C233" s="9">
        <f t="shared" si="37"/>
        <v>51129</v>
      </c>
      <c r="D233" s="6">
        <f>IFERROR((PPMT(Input!$E$55/12,B233,$C$6,Input!$E$54,-Input!$E$65,0))," ")</f>
        <v>-1867.6085549897841</v>
      </c>
      <c r="E233" s="6">
        <f>IFERROR(((IPMT(Input!$E$55/12,B233,$C$6,Input!$E$54,-Input!$E$65,0)))," ")</f>
        <v>-2296.2249539987292</v>
      </c>
      <c r="F233" s="6">
        <f t="shared" si="39"/>
        <v>-329327.20651308546</v>
      </c>
      <c r="G233" s="6">
        <f t="shared" si="38"/>
        <v>-570060.83142843342</v>
      </c>
      <c r="H233" s="6">
        <f t="shared" si="33"/>
        <v>-4163.8335089885131</v>
      </c>
      <c r="I233" s="6">
        <f t="shared" si="34"/>
        <v>1170672.7934869146</v>
      </c>
      <c r="J233" s="6" t="str">
        <f>IF(B233&lt;&gt;"",IF(AND(Input!$H$54="Annual",MOD(B233,12)=0),Input!$J$54,IF(AND(Input!$H$54="1st Installment",B233=1),Input!$J$54,IF(Input!$H$54="Monthly",Input!$J$54,""))),"")</f>
        <v/>
      </c>
      <c r="K233" s="6">
        <f>IF(B233&lt;&gt;"",IF(AND(Input!$H$55="Annual",MOD(B233,12)=0),Input!$J$55,IF(AND(Input!$H$55="1st Installment",B233=1),Input!$J$55,IF(Input!$H$55="Monthly",Input!$J$55,""))),"")</f>
        <v>0</v>
      </c>
      <c r="L233" s="6" t="str">
        <f>IF(B233&lt;&gt;"",IF(AND(Input!$H$56="Annual",MOD(B233,12)=0),Input!$J$56,IF(AND(Input!$H$56="1st Installment",B233=1),Input!$J$56,IF(Input!$H$56="Monthly",Input!$J$56,""))),"")</f>
        <v/>
      </c>
      <c r="M233" s="6" t="str">
        <f>IF(B233&lt;&gt;"",IF(AND(Input!$H$57="Annual",MOD(B233,12)=0),Input!$J$57,IF(AND(Input!$H$57="1st Installment",B233=1),Input!$J$57,IF(Input!$H$57="Monthly",Input!$J$57,""))),"")</f>
        <v/>
      </c>
      <c r="N233" s="6" t="str">
        <f>IF(B233&lt;&gt;"",IF(AND(Input!$H$58="Annual",MOD(B233,12)=0),Input!$J$58,IF(AND(Input!$H$58="1st Installment",B233=1),Input!$J$58,IF(Input!$H$58="Monthly",Input!$J$58,IF(AND(Input!$H$58="End of the loan",B233=Input!$E$58),Input!$J$58,"")))),"")</f>
        <v/>
      </c>
      <c r="O233" s="6">
        <f t="shared" si="30"/>
        <v>0</v>
      </c>
      <c r="P233" s="4">
        <f t="shared" si="31"/>
        <v>4163.8335089885131</v>
      </c>
      <c r="T233" s="9">
        <f t="shared" si="32"/>
        <v>51129</v>
      </c>
      <c r="U233" s="5">
        <f t="shared" si="35"/>
        <v>4163.83</v>
      </c>
    </row>
    <row r="234" spans="2:21">
      <c r="B234" s="16">
        <f t="shared" si="36"/>
        <v>217</v>
      </c>
      <c r="C234" s="9">
        <f t="shared" si="37"/>
        <v>51160</v>
      </c>
      <c r="D234" s="6">
        <f>IFERROR((PPMT(Input!$E$55/12,B234,$C$6,Input!$E$54,-Input!$E$65,0))," ")</f>
        <v>-1871.2659550766391</v>
      </c>
      <c r="E234" s="6">
        <f>IFERROR(((IPMT(Input!$E$55/12,B234,$C$6,Input!$E$54,-Input!$E$65,0)))," ")</f>
        <v>-2292.5675539118743</v>
      </c>
      <c r="F234" s="6">
        <f t="shared" si="39"/>
        <v>-331198.47246816207</v>
      </c>
      <c r="G234" s="6">
        <f t="shared" si="38"/>
        <v>-572353.39898234524</v>
      </c>
      <c r="H234" s="6">
        <f t="shared" si="33"/>
        <v>-4163.8335089885131</v>
      </c>
      <c r="I234" s="6">
        <f t="shared" si="34"/>
        <v>1168801.527531838</v>
      </c>
      <c r="J234" s="6" t="str">
        <f>IF(B234&lt;&gt;"",IF(AND(Input!$H$54="Annual",MOD(B234,12)=0),Input!$J$54,IF(AND(Input!$H$54="1st Installment",B234=1),Input!$J$54,IF(Input!$H$54="Monthly",Input!$J$54,""))),"")</f>
        <v/>
      </c>
      <c r="K234" s="6">
        <f>IF(B234&lt;&gt;"",IF(AND(Input!$H$55="Annual",MOD(B234,12)=0),Input!$J$55,IF(AND(Input!$H$55="1st Installment",B234=1),Input!$J$55,IF(Input!$H$55="Monthly",Input!$J$55,""))),"")</f>
        <v>0</v>
      </c>
      <c r="L234" s="6" t="str">
        <f>IF(B234&lt;&gt;"",IF(AND(Input!$H$56="Annual",MOD(B234,12)=0),Input!$J$56,IF(AND(Input!$H$56="1st Installment",B234=1),Input!$J$56,IF(Input!$H$56="Monthly",Input!$J$56,""))),"")</f>
        <v/>
      </c>
      <c r="M234" s="6" t="str">
        <f>IF(B234&lt;&gt;"",IF(AND(Input!$H$57="Annual",MOD(B234,12)=0),Input!$J$57,IF(AND(Input!$H$57="1st Installment",B234=1),Input!$J$57,IF(Input!$H$57="Monthly",Input!$J$57,""))),"")</f>
        <v/>
      </c>
      <c r="N234" s="6" t="str">
        <f>IF(B234&lt;&gt;"",IF(AND(Input!$H$58="Annual",MOD(B234,12)=0),Input!$J$58,IF(AND(Input!$H$58="1st Installment",B234=1),Input!$J$58,IF(Input!$H$58="Monthly",Input!$J$58,IF(AND(Input!$H$58="End of the loan",B234=Input!$E$58),Input!$J$58,"")))),"")</f>
        <v/>
      </c>
      <c r="O234" s="6">
        <f t="shared" si="30"/>
        <v>0</v>
      </c>
      <c r="P234" s="4">
        <f t="shared" si="31"/>
        <v>4163.8335089885131</v>
      </c>
      <c r="T234" s="9">
        <f t="shared" si="32"/>
        <v>51160</v>
      </c>
      <c r="U234" s="5">
        <f t="shared" si="35"/>
        <v>4163.83</v>
      </c>
    </row>
    <row r="235" spans="2:21">
      <c r="B235" s="16">
        <f t="shared" si="36"/>
        <v>218</v>
      </c>
      <c r="C235" s="9">
        <f t="shared" si="37"/>
        <v>51191</v>
      </c>
      <c r="D235" s="6">
        <f>IFERROR((PPMT(Input!$E$55/12,B235,$C$6,Input!$E$54,-Input!$E$65,0))," ")</f>
        <v>-1874.9305175719976</v>
      </c>
      <c r="E235" s="6">
        <f>IFERROR(((IPMT(Input!$E$55/12,B235,$C$6,Input!$E$54,-Input!$E$65,0)))," ")</f>
        <v>-2288.9029914165162</v>
      </c>
      <c r="F235" s="6">
        <f t="shared" si="39"/>
        <v>-333073.40298573405</v>
      </c>
      <c r="G235" s="6">
        <f t="shared" si="38"/>
        <v>-574642.30197376176</v>
      </c>
      <c r="H235" s="6">
        <f t="shared" si="33"/>
        <v>-4163.833508988514</v>
      </c>
      <c r="I235" s="6">
        <f t="shared" si="34"/>
        <v>1166926.5970142661</v>
      </c>
      <c r="J235" s="6" t="str">
        <f>IF(B235&lt;&gt;"",IF(AND(Input!$H$54="Annual",MOD(B235,12)=0),Input!$J$54,IF(AND(Input!$H$54="1st Installment",B235=1),Input!$J$54,IF(Input!$H$54="Monthly",Input!$J$54,""))),"")</f>
        <v/>
      </c>
      <c r="K235" s="6">
        <f>IF(B235&lt;&gt;"",IF(AND(Input!$H$55="Annual",MOD(B235,12)=0),Input!$J$55,IF(AND(Input!$H$55="1st Installment",B235=1),Input!$J$55,IF(Input!$H$55="Monthly",Input!$J$55,""))),"")</f>
        <v>0</v>
      </c>
      <c r="L235" s="6" t="str">
        <f>IF(B235&lt;&gt;"",IF(AND(Input!$H$56="Annual",MOD(B235,12)=0),Input!$J$56,IF(AND(Input!$H$56="1st Installment",B235=1),Input!$J$56,IF(Input!$H$56="Monthly",Input!$J$56,""))),"")</f>
        <v/>
      </c>
      <c r="M235" s="6" t="str">
        <f>IF(B235&lt;&gt;"",IF(AND(Input!$H$57="Annual",MOD(B235,12)=0),Input!$J$57,IF(AND(Input!$H$57="1st Installment",B235=1),Input!$J$57,IF(Input!$H$57="Monthly",Input!$J$57,""))),"")</f>
        <v/>
      </c>
      <c r="N235" s="6" t="str">
        <f>IF(B235&lt;&gt;"",IF(AND(Input!$H$58="Annual",MOD(B235,12)=0),Input!$J$58,IF(AND(Input!$H$58="1st Installment",B235=1),Input!$J$58,IF(Input!$H$58="Monthly",Input!$J$58,IF(AND(Input!$H$58="End of the loan",B235=Input!$E$58),Input!$J$58,"")))),"")</f>
        <v/>
      </c>
      <c r="O235" s="6">
        <f t="shared" si="30"/>
        <v>0</v>
      </c>
      <c r="P235" s="4">
        <f t="shared" si="31"/>
        <v>4163.833508988514</v>
      </c>
      <c r="T235" s="9">
        <f t="shared" si="32"/>
        <v>51191</v>
      </c>
      <c r="U235" s="5">
        <f t="shared" si="35"/>
        <v>4163.83</v>
      </c>
    </row>
    <row r="236" spans="2:21">
      <c r="B236" s="16">
        <f t="shared" si="36"/>
        <v>219</v>
      </c>
      <c r="C236" s="9">
        <f t="shared" si="37"/>
        <v>51220</v>
      </c>
      <c r="D236" s="6">
        <f>IFERROR((PPMT(Input!$E$55/12,B236,$C$6,Input!$E$54,-Input!$E$65,0))," ")</f>
        <v>-1878.6022565022429</v>
      </c>
      <c r="E236" s="6">
        <f>IFERROR(((IPMT(Input!$E$55/12,B236,$C$6,Input!$E$54,-Input!$E$65,0)))," ")</f>
        <v>-2285.2312524862709</v>
      </c>
      <c r="F236" s="6">
        <f t="shared" si="39"/>
        <v>-334952.00524223631</v>
      </c>
      <c r="G236" s="6">
        <f t="shared" si="38"/>
        <v>-576927.53322624799</v>
      </c>
      <c r="H236" s="6">
        <f t="shared" si="33"/>
        <v>-4163.833508988514</v>
      </c>
      <c r="I236" s="6">
        <f t="shared" si="34"/>
        <v>1165047.9947577636</v>
      </c>
      <c r="J236" s="6" t="str">
        <f>IF(B236&lt;&gt;"",IF(AND(Input!$H$54="Annual",MOD(B236,12)=0),Input!$J$54,IF(AND(Input!$H$54="1st Installment",B236=1),Input!$J$54,IF(Input!$H$54="Monthly",Input!$J$54,""))),"")</f>
        <v/>
      </c>
      <c r="K236" s="6">
        <f>IF(B236&lt;&gt;"",IF(AND(Input!$H$55="Annual",MOD(B236,12)=0),Input!$J$55,IF(AND(Input!$H$55="1st Installment",B236=1),Input!$J$55,IF(Input!$H$55="Monthly",Input!$J$55,""))),"")</f>
        <v>0</v>
      </c>
      <c r="L236" s="6" t="str">
        <f>IF(B236&lt;&gt;"",IF(AND(Input!$H$56="Annual",MOD(B236,12)=0),Input!$J$56,IF(AND(Input!$H$56="1st Installment",B236=1),Input!$J$56,IF(Input!$H$56="Monthly",Input!$J$56,""))),"")</f>
        <v/>
      </c>
      <c r="M236" s="6" t="str">
        <f>IF(B236&lt;&gt;"",IF(AND(Input!$H$57="Annual",MOD(B236,12)=0),Input!$J$57,IF(AND(Input!$H$57="1st Installment",B236=1),Input!$J$57,IF(Input!$H$57="Monthly",Input!$J$57,""))),"")</f>
        <v/>
      </c>
      <c r="N236" s="6" t="str">
        <f>IF(B236&lt;&gt;"",IF(AND(Input!$H$58="Annual",MOD(B236,12)=0),Input!$J$58,IF(AND(Input!$H$58="1st Installment",B236=1),Input!$J$58,IF(Input!$H$58="Monthly",Input!$J$58,IF(AND(Input!$H$58="End of the loan",B236=Input!$E$58),Input!$J$58,"")))),"")</f>
        <v/>
      </c>
      <c r="O236" s="6">
        <f t="shared" si="30"/>
        <v>0</v>
      </c>
      <c r="P236" s="4">
        <f t="shared" si="31"/>
        <v>4163.833508988514</v>
      </c>
      <c r="T236" s="9">
        <f t="shared" si="32"/>
        <v>51220</v>
      </c>
      <c r="U236" s="5">
        <f t="shared" si="35"/>
        <v>4163.83</v>
      </c>
    </row>
    <row r="237" spans="2:21">
      <c r="B237" s="16">
        <f t="shared" si="36"/>
        <v>220</v>
      </c>
      <c r="C237" s="9">
        <f t="shared" si="37"/>
        <v>51251</v>
      </c>
      <c r="D237" s="6">
        <f>IFERROR((PPMT(Input!$E$55/12,B237,$C$6,Input!$E$54,-Input!$E$65,0))," ")</f>
        <v>-1882.2811859212263</v>
      </c>
      <c r="E237" s="6">
        <f>IFERROR(((IPMT(Input!$E$55/12,B237,$C$6,Input!$E$54,-Input!$E$65,0)))," ")</f>
        <v>-2281.5523230672875</v>
      </c>
      <c r="F237" s="6">
        <f t="shared" si="39"/>
        <v>-336834.28642815753</v>
      </c>
      <c r="G237" s="6">
        <f t="shared" si="38"/>
        <v>-579209.08554931532</v>
      </c>
      <c r="H237" s="6">
        <f t="shared" si="33"/>
        <v>-4163.833508988514</v>
      </c>
      <c r="I237" s="6">
        <f t="shared" si="34"/>
        <v>1163165.7135718425</v>
      </c>
      <c r="J237" s="6" t="str">
        <f>IF(B237&lt;&gt;"",IF(AND(Input!$H$54="Annual",MOD(B237,12)=0),Input!$J$54,IF(AND(Input!$H$54="1st Installment",B237=1),Input!$J$54,IF(Input!$H$54="Monthly",Input!$J$54,""))),"")</f>
        <v/>
      </c>
      <c r="K237" s="6">
        <f>IF(B237&lt;&gt;"",IF(AND(Input!$H$55="Annual",MOD(B237,12)=0),Input!$J$55,IF(AND(Input!$H$55="1st Installment",B237=1),Input!$J$55,IF(Input!$H$55="Monthly",Input!$J$55,""))),"")</f>
        <v>0</v>
      </c>
      <c r="L237" s="6" t="str">
        <f>IF(B237&lt;&gt;"",IF(AND(Input!$H$56="Annual",MOD(B237,12)=0),Input!$J$56,IF(AND(Input!$H$56="1st Installment",B237=1),Input!$J$56,IF(Input!$H$56="Monthly",Input!$J$56,""))),"")</f>
        <v/>
      </c>
      <c r="M237" s="6" t="str">
        <f>IF(B237&lt;&gt;"",IF(AND(Input!$H$57="Annual",MOD(B237,12)=0),Input!$J$57,IF(AND(Input!$H$57="1st Installment",B237=1),Input!$J$57,IF(Input!$H$57="Monthly",Input!$J$57,""))),"")</f>
        <v/>
      </c>
      <c r="N237" s="6" t="str">
        <f>IF(B237&lt;&gt;"",IF(AND(Input!$H$58="Annual",MOD(B237,12)=0),Input!$J$58,IF(AND(Input!$H$58="1st Installment",B237=1),Input!$J$58,IF(Input!$H$58="Monthly",Input!$J$58,IF(AND(Input!$H$58="End of the loan",B237=Input!$E$58),Input!$J$58,"")))),"")</f>
        <v/>
      </c>
      <c r="O237" s="6">
        <f t="shared" si="30"/>
        <v>0</v>
      </c>
      <c r="P237" s="4">
        <f t="shared" si="31"/>
        <v>4163.833508988514</v>
      </c>
      <c r="T237" s="9">
        <f t="shared" si="32"/>
        <v>51251</v>
      </c>
      <c r="U237" s="5">
        <f t="shared" si="35"/>
        <v>4163.83</v>
      </c>
    </row>
    <row r="238" spans="2:21">
      <c r="B238" s="16">
        <f t="shared" si="36"/>
        <v>221</v>
      </c>
      <c r="C238" s="9">
        <f t="shared" si="37"/>
        <v>51281</v>
      </c>
      <c r="D238" s="6">
        <f>IFERROR((PPMT(Input!$E$55/12,B238,$C$6,Input!$E$54,-Input!$E$65,0))," ")</f>
        <v>-1885.9673199103222</v>
      </c>
      <c r="E238" s="6">
        <f>IFERROR(((IPMT(Input!$E$55/12,B238,$C$6,Input!$E$54,-Input!$E$65,0)))," ")</f>
        <v>-2277.8661890781914</v>
      </c>
      <c r="F238" s="6">
        <f t="shared" si="39"/>
        <v>-338720.25374806783</v>
      </c>
      <c r="G238" s="6">
        <f t="shared" si="38"/>
        <v>-581486.95173839352</v>
      </c>
      <c r="H238" s="6">
        <f t="shared" si="33"/>
        <v>-4163.8335089885131</v>
      </c>
      <c r="I238" s="6">
        <f t="shared" si="34"/>
        <v>1161279.7462519321</v>
      </c>
      <c r="J238" s="6" t="str">
        <f>IF(B238&lt;&gt;"",IF(AND(Input!$H$54="Annual",MOD(B238,12)=0),Input!$J$54,IF(AND(Input!$H$54="1st Installment",B238=1),Input!$J$54,IF(Input!$H$54="Monthly",Input!$J$54,""))),"")</f>
        <v/>
      </c>
      <c r="K238" s="6">
        <f>IF(B238&lt;&gt;"",IF(AND(Input!$H$55="Annual",MOD(B238,12)=0),Input!$J$55,IF(AND(Input!$H$55="1st Installment",B238=1),Input!$J$55,IF(Input!$H$55="Monthly",Input!$J$55,""))),"")</f>
        <v>0</v>
      </c>
      <c r="L238" s="6" t="str">
        <f>IF(B238&lt;&gt;"",IF(AND(Input!$H$56="Annual",MOD(B238,12)=0),Input!$J$56,IF(AND(Input!$H$56="1st Installment",B238=1),Input!$J$56,IF(Input!$H$56="Monthly",Input!$J$56,""))),"")</f>
        <v/>
      </c>
      <c r="M238" s="6" t="str">
        <f>IF(B238&lt;&gt;"",IF(AND(Input!$H$57="Annual",MOD(B238,12)=0),Input!$J$57,IF(AND(Input!$H$57="1st Installment",B238=1),Input!$J$57,IF(Input!$H$57="Monthly",Input!$J$57,""))),"")</f>
        <v/>
      </c>
      <c r="N238" s="6" t="str">
        <f>IF(B238&lt;&gt;"",IF(AND(Input!$H$58="Annual",MOD(B238,12)=0),Input!$J$58,IF(AND(Input!$H$58="1st Installment",B238=1),Input!$J$58,IF(Input!$H$58="Monthly",Input!$J$58,IF(AND(Input!$H$58="End of the loan",B238=Input!$E$58),Input!$J$58,"")))),"")</f>
        <v/>
      </c>
      <c r="O238" s="6">
        <f t="shared" si="30"/>
        <v>0</v>
      </c>
      <c r="P238" s="4">
        <f t="shared" si="31"/>
        <v>4163.8335089885131</v>
      </c>
      <c r="T238" s="9">
        <f t="shared" si="32"/>
        <v>51281</v>
      </c>
      <c r="U238" s="5">
        <f t="shared" si="35"/>
        <v>4163.83</v>
      </c>
    </row>
    <row r="239" spans="2:21">
      <c r="B239" s="16">
        <f t="shared" si="36"/>
        <v>222</v>
      </c>
      <c r="C239" s="9">
        <f t="shared" si="37"/>
        <v>51312</v>
      </c>
      <c r="D239" s="6">
        <f>IFERROR((PPMT(Input!$E$55/12,B239,$C$6,Input!$E$54,-Input!$E$65,0))," ")</f>
        <v>-1889.66067257848</v>
      </c>
      <c r="E239" s="6">
        <f>IFERROR(((IPMT(Input!$E$55/12,B239,$C$6,Input!$E$54,-Input!$E$65,0)))," ")</f>
        <v>-2274.1728364100341</v>
      </c>
      <c r="F239" s="6">
        <f t="shared" si="39"/>
        <v>-340609.91442064632</v>
      </c>
      <c r="G239" s="6">
        <f t="shared" si="38"/>
        <v>-583761.12457480351</v>
      </c>
      <c r="H239" s="6">
        <f t="shared" si="33"/>
        <v>-4163.833508988514</v>
      </c>
      <c r="I239" s="6">
        <f t="shared" si="34"/>
        <v>1159390.0855793536</v>
      </c>
      <c r="J239" s="6" t="str">
        <f>IF(B239&lt;&gt;"",IF(AND(Input!$H$54="Annual",MOD(B239,12)=0),Input!$J$54,IF(AND(Input!$H$54="1st Installment",B239=1),Input!$J$54,IF(Input!$H$54="Monthly",Input!$J$54,""))),"")</f>
        <v/>
      </c>
      <c r="K239" s="6">
        <f>IF(B239&lt;&gt;"",IF(AND(Input!$H$55="Annual",MOD(B239,12)=0),Input!$J$55,IF(AND(Input!$H$55="1st Installment",B239=1),Input!$J$55,IF(Input!$H$55="Monthly",Input!$J$55,""))),"")</f>
        <v>0</v>
      </c>
      <c r="L239" s="6" t="str">
        <f>IF(B239&lt;&gt;"",IF(AND(Input!$H$56="Annual",MOD(B239,12)=0),Input!$J$56,IF(AND(Input!$H$56="1st Installment",B239=1),Input!$J$56,IF(Input!$H$56="Monthly",Input!$J$56,""))),"")</f>
        <v/>
      </c>
      <c r="M239" s="6" t="str">
        <f>IF(B239&lt;&gt;"",IF(AND(Input!$H$57="Annual",MOD(B239,12)=0),Input!$J$57,IF(AND(Input!$H$57="1st Installment",B239=1),Input!$J$57,IF(Input!$H$57="Monthly",Input!$J$57,""))),"")</f>
        <v/>
      </c>
      <c r="N239" s="6" t="str">
        <f>IF(B239&lt;&gt;"",IF(AND(Input!$H$58="Annual",MOD(B239,12)=0),Input!$J$58,IF(AND(Input!$H$58="1st Installment",B239=1),Input!$J$58,IF(Input!$H$58="Monthly",Input!$J$58,IF(AND(Input!$H$58="End of the loan",B239=Input!$E$58),Input!$J$58,"")))),"")</f>
        <v/>
      </c>
      <c r="O239" s="6">
        <f t="shared" si="30"/>
        <v>0</v>
      </c>
      <c r="P239" s="4">
        <f t="shared" si="31"/>
        <v>4163.833508988514</v>
      </c>
      <c r="T239" s="9">
        <f t="shared" si="32"/>
        <v>51312</v>
      </c>
      <c r="U239" s="5">
        <f t="shared" si="35"/>
        <v>4163.83</v>
      </c>
    </row>
    <row r="240" spans="2:21">
      <c r="B240" s="16">
        <f t="shared" si="36"/>
        <v>223</v>
      </c>
      <c r="C240" s="9">
        <f t="shared" si="37"/>
        <v>51342</v>
      </c>
      <c r="D240" s="6">
        <f>IFERROR((PPMT(Input!$E$55/12,B240,$C$6,Input!$E$54,-Input!$E$65,0))," ")</f>
        <v>-1893.3612580622791</v>
      </c>
      <c r="E240" s="6">
        <f>IFERROR(((IPMT(Input!$E$55/12,B240,$C$6,Input!$E$54,-Input!$E$65,0)))," ")</f>
        <v>-2270.4722509262347</v>
      </c>
      <c r="F240" s="6">
        <f t="shared" si="39"/>
        <v>-342503.27567870863</v>
      </c>
      <c r="G240" s="6">
        <f t="shared" si="38"/>
        <v>-586031.59682572971</v>
      </c>
      <c r="H240" s="6">
        <f t="shared" si="33"/>
        <v>-4163.833508988514</v>
      </c>
      <c r="I240" s="6">
        <f t="shared" si="34"/>
        <v>1157496.7243212913</v>
      </c>
      <c r="J240" s="6" t="str">
        <f>IF(B240&lt;&gt;"",IF(AND(Input!$H$54="Annual",MOD(B240,12)=0),Input!$J$54,IF(AND(Input!$H$54="1st Installment",B240=1),Input!$J$54,IF(Input!$H$54="Monthly",Input!$J$54,""))),"")</f>
        <v/>
      </c>
      <c r="K240" s="6">
        <f>IF(B240&lt;&gt;"",IF(AND(Input!$H$55="Annual",MOD(B240,12)=0),Input!$J$55,IF(AND(Input!$H$55="1st Installment",B240=1),Input!$J$55,IF(Input!$H$55="Monthly",Input!$J$55,""))),"")</f>
        <v>0</v>
      </c>
      <c r="L240" s="6" t="str">
        <f>IF(B240&lt;&gt;"",IF(AND(Input!$H$56="Annual",MOD(B240,12)=0),Input!$J$56,IF(AND(Input!$H$56="1st Installment",B240=1),Input!$J$56,IF(Input!$H$56="Monthly",Input!$J$56,""))),"")</f>
        <v/>
      </c>
      <c r="M240" s="6" t="str">
        <f>IF(B240&lt;&gt;"",IF(AND(Input!$H$57="Annual",MOD(B240,12)=0),Input!$J$57,IF(AND(Input!$H$57="1st Installment",B240=1),Input!$J$57,IF(Input!$H$57="Monthly",Input!$J$57,""))),"")</f>
        <v/>
      </c>
      <c r="N240" s="6" t="str">
        <f>IF(B240&lt;&gt;"",IF(AND(Input!$H$58="Annual",MOD(B240,12)=0),Input!$J$58,IF(AND(Input!$H$58="1st Installment",B240=1),Input!$J$58,IF(Input!$H$58="Monthly",Input!$J$58,IF(AND(Input!$H$58="End of the loan",B240=Input!$E$58),Input!$J$58,"")))),"")</f>
        <v/>
      </c>
      <c r="O240" s="6">
        <f t="shared" si="30"/>
        <v>0</v>
      </c>
      <c r="P240" s="4">
        <f t="shared" si="31"/>
        <v>4163.833508988514</v>
      </c>
      <c r="T240" s="9">
        <f t="shared" si="32"/>
        <v>51342</v>
      </c>
      <c r="U240" s="5">
        <f t="shared" si="35"/>
        <v>4163.83</v>
      </c>
    </row>
    <row r="241" spans="2:21">
      <c r="B241" s="16">
        <f t="shared" si="36"/>
        <v>224</v>
      </c>
      <c r="C241" s="9">
        <f t="shared" si="37"/>
        <v>51373</v>
      </c>
      <c r="D241" s="6">
        <f>IFERROR((PPMT(Input!$E$55/12,B241,$C$6,Input!$E$54,-Input!$E$65,0))," ")</f>
        <v>-1897.0690905259846</v>
      </c>
      <c r="E241" s="6">
        <f>IFERROR(((IPMT(Input!$E$55/12,B241,$C$6,Input!$E$54,-Input!$E$65,0)))," ")</f>
        <v>-2266.7644184625292</v>
      </c>
      <c r="F241" s="6">
        <f t="shared" si="39"/>
        <v>-344400.34476923459</v>
      </c>
      <c r="G241" s="6">
        <f t="shared" si="38"/>
        <v>-588298.36124419223</v>
      </c>
      <c r="H241" s="6">
        <f t="shared" si="33"/>
        <v>-4163.833508988514</v>
      </c>
      <c r="I241" s="6">
        <f t="shared" si="34"/>
        <v>1155599.6552307655</v>
      </c>
      <c r="J241" s="6" t="str">
        <f>IF(B241&lt;&gt;"",IF(AND(Input!$H$54="Annual",MOD(B241,12)=0),Input!$J$54,IF(AND(Input!$H$54="1st Installment",B241=1),Input!$J$54,IF(Input!$H$54="Monthly",Input!$J$54,""))),"")</f>
        <v/>
      </c>
      <c r="K241" s="6">
        <f>IF(B241&lt;&gt;"",IF(AND(Input!$H$55="Annual",MOD(B241,12)=0),Input!$J$55,IF(AND(Input!$H$55="1st Installment",B241=1),Input!$J$55,IF(Input!$H$55="Monthly",Input!$J$55,""))),"")</f>
        <v>0</v>
      </c>
      <c r="L241" s="6" t="str">
        <f>IF(B241&lt;&gt;"",IF(AND(Input!$H$56="Annual",MOD(B241,12)=0),Input!$J$56,IF(AND(Input!$H$56="1st Installment",B241=1),Input!$J$56,IF(Input!$H$56="Monthly",Input!$J$56,""))),"")</f>
        <v/>
      </c>
      <c r="M241" s="6" t="str">
        <f>IF(B241&lt;&gt;"",IF(AND(Input!$H$57="Annual",MOD(B241,12)=0),Input!$J$57,IF(AND(Input!$H$57="1st Installment",B241=1),Input!$J$57,IF(Input!$H$57="Monthly",Input!$J$57,""))),"")</f>
        <v/>
      </c>
      <c r="N241" s="6" t="str">
        <f>IF(B241&lt;&gt;"",IF(AND(Input!$H$58="Annual",MOD(B241,12)=0),Input!$J$58,IF(AND(Input!$H$58="1st Installment",B241=1),Input!$J$58,IF(Input!$H$58="Monthly",Input!$J$58,IF(AND(Input!$H$58="End of the loan",B241=Input!$E$58),Input!$J$58,"")))),"")</f>
        <v/>
      </c>
      <c r="O241" s="6">
        <f t="shared" si="30"/>
        <v>0</v>
      </c>
      <c r="P241" s="4">
        <f t="shared" si="31"/>
        <v>4163.833508988514</v>
      </c>
      <c r="T241" s="9">
        <f t="shared" si="32"/>
        <v>51373</v>
      </c>
      <c r="U241" s="5">
        <f t="shared" si="35"/>
        <v>4163.83</v>
      </c>
    </row>
    <row r="242" spans="2:21">
      <c r="B242" s="16">
        <f t="shared" si="36"/>
        <v>225</v>
      </c>
      <c r="C242" s="9">
        <f t="shared" si="37"/>
        <v>51404</v>
      </c>
      <c r="D242" s="6">
        <f>IFERROR((PPMT(Input!$E$55/12,B242,$C$6,Input!$E$54,-Input!$E$65,0))," ")</f>
        <v>-1900.784184161598</v>
      </c>
      <c r="E242" s="6">
        <f>IFERROR(((IPMT(Input!$E$55/12,B242,$C$6,Input!$E$54,-Input!$E$65,0)))," ")</f>
        <v>-2263.0493248269154</v>
      </c>
      <c r="F242" s="6">
        <f t="shared" si="39"/>
        <v>-346301.12895339617</v>
      </c>
      <c r="G242" s="6">
        <f t="shared" si="38"/>
        <v>-590561.41056901915</v>
      </c>
      <c r="H242" s="6">
        <f t="shared" si="33"/>
        <v>-4163.8335089885131</v>
      </c>
      <c r="I242" s="6">
        <f t="shared" si="34"/>
        <v>1153698.8710466039</v>
      </c>
      <c r="J242" s="6" t="str">
        <f>IF(B242&lt;&gt;"",IF(AND(Input!$H$54="Annual",MOD(B242,12)=0),Input!$J$54,IF(AND(Input!$H$54="1st Installment",B242=1),Input!$J$54,IF(Input!$H$54="Monthly",Input!$J$54,""))),"")</f>
        <v/>
      </c>
      <c r="K242" s="6">
        <f>IF(B242&lt;&gt;"",IF(AND(Input!$H$55="Annual",MOD(B242,12)=0),Input!$J$55,IF(AND(Input!$H$55="1st Installment",B242=1),Input!$J$55,IF(Input!$H$55="Monthly",Input!$J$55,""))),"")</f>
        <v>0</v>
      </c>
      <c r="L242" s="6" t="str">
        <f>IF(B242&lt;&gt;"",IF(AND(Input!$H$56="Annual",MOD(B242,12)=0),Input!$J$56,IF(AND(Input!$H$56="1st Installment",B242=1),Input!$J$56,IF(Input!$H$56="Monthly",Input!$J$56,""))),"")</f>
        <v/>
      </c>
      <c r="M242" s="6" t="str">
        <f>IF(B242&lt;&gt;"",IF(AND(Input!$H$57="Annual",MOD(B242,12)=0),Input!$J$57,IF(AND(Input!$H$57="1st Installment",B242=1),Input!$J$57,IF(Input!$H$57="Monthly",Input!$J$57,""))),"")</f>
        <v/>
      </c>
      <c r="N242" s="6" t="str">
        <f>IF(B242&lt;&gt;"",IF(AND(Input!$H$58="Annual",MOD(B242,12)=0),Input!$J$58,IF(AND(Input!$H$58="1st Installment",B242=1),Input!$J$58,IF(Input!$H$58="Monthly",Input!$J$58,IF(AND(Input!$H$58="End of the loan",B242=Input!$E$58),Input!$J$58,"")))),"")</f>
        <v/>
      </c>
      <c r="O242" s="6">
        <f t="shared" si="30"/>
        <v>0</v>
      </c>
      <c r="P242" s="4">
        <f t="shared" si="31"/>
        <v>4163.8335089885131</v>
      </c>
      <c r="T242" s="9">
        <f t="shared" si="32"/>
        <v>51404</v>
      </c>
      <c r="U242" s="5">
        <f t="shared" si="35"/>
        <v>4163.83</v>
      </c>
    </row>
    <row r="243" spans="2:21">
      <c r="B243" s="16">
        <f t="shared" si="36"/>
        <v>226</v>
      </c>
      <c r="C243" s="9">
        <f t="shared" si="37"/>
        <v>51434</v>
      </c>
      <c r="D243" s="6">
        <f>IFERROR((PPMT(Input!$E$55/12,B243,$C$6,Input!$E$54,-Input!$E$65,0))," ")</f>
        <v>-1904.5065531889145</v>
      </c>
      <c r="E243" s="6">
        <f>IFERROR(((IPMT(Input!$E$55/12,B243,$C$6,Input!$E$54,-Input!$E$65,0)))," ")</f>
        <v>-2259.3269557995991</v>
      </c>
      <c r="F243" s="6">
        <f t="shared" si="39"/>
        <v>-348205.63550658507</v>
      </c>
      <c r="G243" s="6">
        <f t="shared" si="38"/>
        <v>-592820.73752481875</v>
      </c>
      <c r="H243" s="6">
        <f t="shared" si="33"/>
        <v>-4163.8335089885131</v>
      </c>
      <c r="I243" s="6">
        <f t="shared" si="34"/>
        <v>1151794.364493415</v>
      </c>
      <c r="J243" s="6" t="str">
        <f>IF(B243&lt;&gt;"",IF(AND(Input!$H$54="Annual",MOD(B243,12)=0),Input!$J$54,IF(AND(Input!$H$54="1st Installment",B243=1),Input!$J$54,IF(Input!$H$54="Monthly",Input!$J$54,""))),"")</f>
        <v/>
      </c>
      <c r="K243" s="6">
        <f>IF(B243&lt;&gt;"",IF(AND(Input!$H$55="Annual",MOD(B243,12)=0),Input!$J$55,IF(AND(Input!$H$55="1st Installment",B243=1),Input!$J$55,IF(Input!$H$55="Monthly",Input!$J$55,""))),"")</f>
        <v>0</v>
      </c>
      <c r="L243" s="6" t="str">
        <f>IF(B243&lt;&gt;"",IF(AND(Input!$H$56="Annual",MOD(B243,12)=0),Input!$J$56,IF(AND(Input!$H$56="1st Installment",B243=1),Input!$J$56,IF(Input!$H$56="Monthly",Input!$J$56,""))),"")</f>
        <v/>
      </c>
      <c r="M243" s="6" t="str">
        <f>IF(B243&lt;&gt;"",IF(AND(Input!$H$57="Annual",MOD(B243,12)=0),Input!$J$57,IF(AND(Input!$H$57="1st Installment",B243=1),Input!$J$57,IF(Input!$H$57="Monthly",Input!$J$57,""))),"")</f>
        <v/>
      </c>
      <c r="N243" s="6" t="str">
        <f>IF(B243&lt;&gt;"",IF(AND(Input!$H$58="Annual",MOD(B243,12)=0),Input!$J$58,IF(AND(Input!$H$58="1st Installment",B243=1),Input!$J$58,IF(Input!$H$58="Monthly",Input!$J$58,IF(AND(Input!$H$58="End of the loan",B243=Input!$E$58),Input!$J$58,"")))),"")</f>
        <v/>
      </c>
      <c r="O243" s="6">
        <f t="shared" si="30"/>
        <v>0</v>
      </c>
      <c r="P243" s="4">
        <f t="shared" si="31"/>
        <v>4163.8335089885131</v>
      </c>
      <c r="T243" s="9">
        <f t="shared" si="32"/>
        <v>51434</v>
      </c>
      <c r="U243" s="5">
        <f t="shared" si="35"/>
        <v>4163.83</v>
      </c>
    </row>
    <row r="244" spans="2:21">
      <c r="B244" s="16">
        <f t="shared" si="36"/>
        <v>227</v>
      </c>
      <c r="C244" s="9">
        <f t="shared" si="37"/>
        <v>51465</v>
      </c>
      <c r="D244" s="6">
        <f>IFERROR((PPMT(Input!$E$55/12,B244,$C$6,Input!$E$54,-Input!$E$65,0))," ")</f>
        <v>-1908.2362118555761</v>
      </c>
      <c r="E244" s="6">
        <f>IFERROR(((IPMT(Input!$E$55/12,B244,$C$6,Input!$E$54,-Input!$E$65,0)))," ")</f>
        <v>-2255.5972971329375</v>
      </c>
      <c r="F244" s="6">
        <f t="shared" si="39"/>
        <v>-350113.87171844067</v>
      </c>
      <c r="G244" s="6">
        <f t="shared" si="38"/>
        <v>-595076.33482195169</v>
      </c>
      <c r="H244" s="6">
        <f t="shared" si="33"/>
        <v>-4163.8335089885131</v>
      </c>
      <c r="I244" s="6">
        <f t="shared" si="34"/>
        <v>1149886.1282815593</v>
      </c>
      <c r="J244" s="6" t="str">
        <f>IF(B244&lt;&gt;"",IF(AND(Input!$H$54="Annual",MOD(B244,12)=0),Input!$J$54,IF(AND(Input!$H$54="1st Installment",B244=1),Input!$J$54,IF(Input!$H$54="Monthly",Input!$J$54,""))),"")</f>
        <v/>
      </c>
      <c r="K244" s="6">
        <f>IF(B244&lt;&gt;"",IF(AND(Input!$H$55="Annual",MOD(B244,12)=0),Input!$J$55,IF(AND(Input!$H$55="1st Installment",B244=1),Input!$J$55,IF(Input!$H$55="Monthly",Input!$J$55,""))),"")</f>
        <v>0</v>
      </c>
      <c r="L244" s="6" t="str">
        <f>IF(B244&lt;&gt;"",IF(AND(Input!$H$56="Annual",MOD(B244,12)=0),Input!$J$56,IF(AND(Input!$H$56="1st Installment",B244=1),Input!$J$56,IF(Input!$H$56="Monthly",Input!$J$56,""))),"")</f>
        <v/>
      </c>
      <c r="M244" s="6" t="str">
        <f>IF(B244&lt;&gt;"",IF(AND(Input!$H$57="Annual",MOD(B244,12)=0),Input!$J$57,IF(AND(Input!$H$57="1st Installment",B244=1),Input!$J$57,IF(Input!$H$57="Monthly",Input!$J$57,""))),"")</f>
        <v/>
      </c>
      <c r="N244" s="6" t="str">
        <f>IF(B244&lt;&gt;"",IF(AND(Input!$H$58="Annual",MOD(B244,12)=0),Input!$J$58,IF(AND(Input!$H$58="1st Installment",B244=1),Input!$J$58,IF(Input!$H$58="Monthly",Input!$J$58,IF(AND(Input!$H$58="End of the loan",B244=Input!$E$58),Input!$J$58,"")))),"")</f>
        <v/>
      </c>
      <c r="O244" s="6">
        <f t="shared" si="30"/>
        <v>0</v>
      </c>
      <c r="P244" s="4">
        <f t="shared" si="31"/>
        <v>4163.8335089885131</v>
      </c>
      <c r="T244" s="9">
        <f t="shared" si="32"/>
        <v>51465</v>
      </c>
      <c r="U244" s="5">
        <f t="shared" si="35"/>
        <v>4163.83</v>
      </c>
    </row>
    <row r="245" spans="2:21">
      <c r="B245" s="16">
        <f t="shared" si="36"/>
        <v>228</v>
      </c>
      <c r="C245" s="9">
        <f t="shared" si="37"/>
        <v>51495</v>
      </c>
      <c r="D245" s="6">
        <f>IFERROR((PPMT(Input!$E$55/12,B245,$C$6,Input!$E$54,-Input!$E$65,0))," ")</f>
        <v>-1911.9731744371265</v>
      </c>
      <c r="E245" s="6">
        <f>IFERROR(((IPMT(Input!$E$55/12,B245,$C$6,Input!$E$54,-Input!$E$65,0)))," ")</f>
        <v>-2251.8603345513875</v>
      </c>
      <c r="F245" s="6">
        <f t="shared" si="39"/>
        <v>-352025.84489287779</v>
      </c>
      <c r="G245" s="6">
        <f t="shared" si="38"/>
        <v>-597328.19515650312</v>
      </c>
      <c r="H245" s="6">
        <f t="shared" si="33"/>
        <v>-4163.833508988514</v>
      </c>
      <c r="I245" s="6">
        <f t="shared" si="34"/>
        <v>1147974.1551071221</v>
      </c>
      <c r="J245" s="6" t="str">
        <f>IF(B245&lt;&gt;"",IF(AND(Input!$H$54="Annual",MOD(B245,12)=0),Input!$J$54,IF(AND(Input!$H$54="1st Installment",B245=1),Input!$J$54,IF(Input!$H$54="Monthly",Input!$J$54,""))),"")</f>
        <v/>
      </c>
      <c r="K245" s="6">
        <f>IF(B245&lt;&gt;"",IF(AND(Input!$H$55="Annual",MOD(B245,12)=0),Input!$J$55,IF(AND(Input!$H$55="1st Installment",B245=1),Input!$J$55,IF(Input!$H$55="Monthly",Input!$J$55,""))),"")</f>
        <v>0</v>
      </c>
      <c r="L245" s="6" t="str">
        <f>IF(B245&lt;&gt;"",IF(AND(Input!$H$56="Annual",MOD(B245,12)=0),Input!$J$56,IF(AND(Input!$H$56="1st Installment",B245=1),Input!$J$56,IF(Input!$H$56="Monthly",Input!$J$56,""))),"")</f>
        <v/>
      </c>
      <c r="M245" s="6" t="str">
        <f>IF(B245&lt;&gt;"",IF(AND(Input!$H$57="Annual",MOD(B245,12)=0),Input!$J$57,IF(AND(Input!$H$57="1st Installment",B245=1),Input!$J$57,IF(Input!$H$57="Monthly",Input!$J$57,""))),"")</f>
        <v/>
      </c>
      <c r="N245" s="6" t="str">
        <f>IF(B245&lt;&gt;"",IF(AND(Input!$H$58="Annual",MOD(B245,12)=0),Input!$J$58,IF(AND(Input!$H$58="1st Installment",B245=1),Input!$J$58,IF(Input!$H$58="Monthly",Input!$J$58,IF(AND(Input!$H$58="End of the loan",B245=Input!$E$58),Input!$J$58,"")))),"")</f>
        <v/>
      </c>
      <c r="O245" s="6">
        <f t="shared" si="30"/>
        <v>0</v>
      </c>
      <c r="P245" s="4">
        <f t="shared" si="31"/>
        <v>4163.833508988514</v>
      </c>
      <c r="T245" s="9">
        <f t="shared" si="32"/>
        <v>51495</v>
      </c>
      <c r="U245" s="5">
        <f t="shared" si="35"/>
        <v>4163.83</v>
      </c>
    </row>
    <row r="246" spans="2:21">
      <c r="B246" s="16">
        <f t="shared" si="36"/>
        <v>229</v>
      </c>
      <c r="C246" s="9">
        <f t="shared" si="37"/>
        <v>51526</v>
      </c>
      <c r="D246" s="6">
        <f>IFERROR((PPMT(Input!$E$55/12,B246,$C$6,Input!$E$54,-Input!$E$65,0))," ")</f>
        <v>-1915.7174552370661</v>
      </c>
      <c r="E246" s="6">
        <f>IFERROR(((IPMT(Input!$E$55/12,B246,$C$6,Input!$E$54,-Input!$E$65,0)))," ")</f>
        <v>-2248.1160537514479</v>
      </c>
      <c r="F246" s="6">
        <f t="shared" si="39"/>
        <v>-353941.56234811485</v>
      </c>
      <c r="G246" s="6">
        <f t="shared" si="38"/>
        <v>-599576.31121025456</v>
      </c>
      <c r="H246" s="6">
        <f t="shared" si="33"/>
        <v>-4163.833508988514</v>
      </c>
      <c r="I246" s="6">
        <f t="shared" si="34"/>
        <v>1146058.4376518852</v>
      </c>
      <c r="J246" s="6" t="str">
        <f>IF(B246&lt;&gt;"",IF(AND(Input!$H$54="Annual",MOD(B246,12)=0),Input!$J$54,IF(AND(Input!$H$54="1st Installment",B246=1),Input!$J$54,IF(Input!$H$54="Monthly",Input!$J$54,""))),"")</f>
        <v/>
      </c>
      <c r="K246" s="6">
        <f>IF(B246&lt;&gt;"",IF(AND(Input!$H$55="Annual",MOD(B246,12)=0),Input!$J$55,IF(AND(Input!$H$55="1st Installment",B246=1),Input!$J$55,IF(Input!$H$55="Monthly",Input!$J$55,""))),"")</f>
        <v>0</v>
      </c>
      <c r="L246" s="6" t="str">
        <f>IF(B246&lt;&gt;"",IF(AND(Input!$H$56="Annual",MOD(B246,12)=0),Input!$J$56,IF(AND(Input!$H$56="1st Installment",B246=1),Input!$J$56,IF(Input!$H$56="Monthly",Input!$J$56,""))),"")</f>
        <v/>
      </c>
      <c r="M246" s="6" t="str">
        <f>IF(B246&lt;&gt;"",IF(AND(Input!$H$57="Annual",MOD(B246,12)=0),Input!$J$57,IF(AND(Input!$H$57="1st Installment",B246=1),Input!$J$57,IF(Input!$H$57="Monthly",Input!$J$57,""))),"")</f>
        <v/>
      </c>
      <c r="N246" s="6" t="str">
        <f>IF(B246&lt;&gt;"",IF(AND(Input!$H$58="Annual",MOD(B246,12)=0),Input!$J$58,IF(AND(Input!$H$58="1st Installment",B246=1),Input!$J$58,IF(Input!$H$58="Monthly",Input!$J$58,IF(AND(Input!$H$58="End of the loan",B246=Input!$E$58),Input!$J$58,"")))),"")</f>
        <v/>
      </c>
      <c r="O246" s="6">
        <f t="shared" si="30"/>
        <v>0</v>
      </c>
      <c r="P246" s="4">
        <f t="shared" si="31"/>
        <v>4163.833508988514</v>
      </c>
      <c r="T246" s="9">
        <f t="shared" si="32"/>
        <v>51526</v>
      </c>
      <c r="U246" s="5">
        <f t="shared" si="35"/>
        <v>4163.83</v>
      </c>
    </row>
    <row r="247" spans="2:21">
      <c r="B247" s="16">
        <f t="shared" si="36"/>
        <v>230</v>
      </c>
      <c r="C247" s="9">
        <f t="shared" si="37"/>
        <v>51557</v>
      </c>
      <c r="D247" s="6">
        <f>IFERROR((PPMT(Input!$E$55/12,B247,$C$6,Input!$E$54,-Input!$E$65,0))," ")</f>
        <v>-1919.469068586905</v>
      </c>
      <c r="E247" s="6">
        <f>IFERROR(((IPMT(Input!$E$55/12,B247,$C$6,Input!$E$54,-Input!$E$65,0)))," ")</f>
        <v>-2244.3644404016086</v>
      </c>
      <c r="F247" s="6">
        <f t="shared" si="39"/>
        <v>-355861.03141670173</v>
      </c>
      <c r="G247" s="6">
        <f t="shared" si="38"/>
        <v>-601820.67565065622</v>
      </c>
      <c r="H247" s="6">
        <f t="shared" si="33"/>
        <v>-4163.8335089885131</v>
      </c>
      <c r="I247" s="6">
        <f t="shared" si="34"/>
        <v>1144138.9685832984</v>
      </c>
      <c r="J247" s="6" t="str">
        <f>IF(B247&lt;&gt;"",IF(AND(Input!$H$54="Annual",MOD(B247,12)=0),Input!$J$54,IF(AND(Input!$H$54="1st Installment",B247=1),Input!$J$54,IF(Input!$H$54="Monthly",Input!$J$54,""))),"")</f>
        <v/>
      </c>
      <c r="K247" s="6">
        <f>IF(B247&lt;&gt;"",IF(AND(Input!$H$55="Annual",MOD(B247,12)=0),Input!$J$55,IF(AND(Input!$H$55="1st Installment",B247=1),Input!$J$55,IF(Input!$H$55="Monthly",Input!$J$55,""))),"")</f>
        <v>0</v>
      </c>
      <c r="L247" s="6" t="str">
        <f>IF(B247&lt;&gt;"",IF(AND(Input!$H$56="Annual",MOD(B247,12)=0),Input!$J$56,IF(AND(Input!$H$56="1st Installment",B247=1),Input!$J$56,IF(Input!$H$56="Monthly",Input!$J$56,""))),"")</f>
        <v/>
      </c>
      <c r="M247" s="6" t="str">
        <f>IF(B247&lt;&gt;"",IF(AND(Input!$H$57="Annual",MOD(B247,12)=0),Input!$J$57,IF(AND(Input!$H$57="1st Installment",B247=1),Input!$J$57,IF(Input!$H$57="Monthly",Input!$J$57,""))),"")</f>
        <v/>
      </c>
      <c r="N247" s="6" t="str">
        <f>IF(B247&lt;&gt;"",IF(AND(Input!$H$58="Annual",MOD(B247,12)=0),Input!$J$58,IF(AND(Input!$H$58="1st Installment",B247=1),Input!$J$58,IF(Input!$H$58="Monthly",Input!$J$58,IF(AND(Input!$H$58="End of the loan",B247=Input!$E$58),Input!$J$58,"")))),"")</f>
        <v/>
      </c>
      <c r="O247" s="6">
        <f t="shared" si="30"/>
        <v>0</v>
      </c>
      <c r="P247" s="4">
        <f t="shared" si="31"/>
        <v>4163.8335089885131</v>
      </c>
      <c r="T247" s="9">
        <f t="shared" si="32"/>
        <v>51557</v>
      </c>
      <c r="U247" s="5">
        <f t="shared" si="35"/>
        <v>4163.83</v>
      </c>
    </row>
    <row r="248" spans="2:21">
      <c r="B248" s="16">
        <f t="shared" si="36"/>
        <v>231</v>
      </c>
      <c r="C248" s="9">
        <f t="shared" si="37"/>
        <v>51585</v>
      </c>
      <c r="D248" s="6">
        <f>IFERROR((PPMT(Input!$E$55/12,B248,$C$6,Input!$E$54,-Input!$E$65,0))," ")</f>
        <v>-1923.2280288462212</v>
      </c>
      <c r="E248" s="6">
        <f>IFERROR(((IPMT(Input!$E$55/12,B248,$C$6,Input!$E$54,-Input!$E$65,0)))," ")</f>
        <v>-2240.6054801422924</v>
      </c>
      <c r="F248" s="6">
        <f t="shared" si="39"/>
        <v>-357784.25944554794</v>
      </c>
      <c r="G248" s="6">
        <f t="shared" si="38"/>
        <v>-604061.28113079851</v>
      </c>
      <c r="H248" s="6">
        <f t="shared" si="33"/>
        <v>-4163.8335089885131</v>
      </c>
      <c r="I248" s="6">
        <f t="shared" si="34"/>
        <v>1142215.7405544519</v>
      </c>
      <c r="J248" s="6" t="str">
        <f>IF(B248&lt;&gt;"",IF(AND(Input!$H$54="Annual",MOD(B248,12)=0),Input!$J$54,IF(AND(Input!$H$54="1st Installment",B248=1),Input!$J$54,IF(Input!$H$54="Monthly",Input!$J$54,""))),"")</f>
        <v/>
      </c>
      <c r="K248" s="6">
        <f>IF(B248&lt;&gt;"",IF(AND(Input!$H$55="Annual",MOD(B248,12)=0),Input!$J$55,IF(AND(Input!$H$55="1st Installment",B248=1),Input!$J$55,IF(Input!$H$55="Monthly",Input!$J$55,""))),"")</f>
        <v>0</v>
      </c>
      <c r="L248" s="6" t="str">
        <f>IF(B248&lt;&gt;"",IF(AND(Input!$H$56="Annual",MOD(B248,12)=0),Input!$J$56,IF(AND(Input!$H$56="1st Installment",B248=1),Input!$J$56,IF(Input!$H$56="Monthly",Input!$J$56,""))),"")</f>
        <v/>
      </c>
      <c r="M248" s="6" t="str">
        <f>IF(B248&lt;&gt;"",IF(AND(Input!$H$57="Annual",MOD(B248,12)=0),Input!$J$57,IF(AND(Input!$H$57="1st Installment",B248=1),Input!$J$57,IF(Input!$H$57="Monthly",Input!$J$57,""))),"")</f>
        <v/>
      </c>
      <c r="N248" s="6" t="str">
        <f>IF(B248&lt;&gt;"",IF(AND(Input!$H$58="Annual",MOD(B248,12)=0),Input!$J$58,IF(AND(Input!$H$58="1st Installment",B248=1),Input!$J$58,IF(Input!$H$58="Monthly",Input!$J$58,IF(AND(Input!$H$58="End of the loan",B248=Input!$E$58),Input!$J$58,"")))),"")</f>
        <v/>
      </c>
      <c r="O248" s="6">
        <f t="shared" si="30"/>
        <v>0</v>
      </c>
      <c r="P248" s="4">
        <f t="shared" si="31"/>
        <v>4163.8335089885131</v>
      </c>
      <c r="T248" s="9">
        <f t="shared" si="32"/>
        <v>51585</v>
      </c>
      <c r="U248" s="5">
        <f t="shared" si="35"/>
        <v>4163.83</v>
      </c>
    </row>
    <row r="249" spans="2:21">
      <c r="B249" s="16">
        <f t="shared" si="36"/>
        <v>232</v>
      </c>
      <c r="C249" s="9">
        <f t="shared" si="37"/>
        <v>51616</v>
      </c>
      <c r="D249" s="6">
        <f>IFERROR((PPMT(Input!$E$55/12,B249,$C$6,Input!$E$54,-Input!$E$65,0))," ")</f>
        <v>-1926.9943504027117</v>
      </c>
      <c r="E249" s="6">
        <f>IFERROR(((IPMT(Input!$E$55/12,B249,$C$6,Input!$E$54,-Input!$E$65,0)))," ")</f>
        <v>-2236.8391585858021</v>
      </c>
      <c r="F249" s="6">
        <f t="shared" si="39"/>
        <v>-359711.25379595067</v>
      </c>
      <c r="G249" s="6">
        <f t="shared" si="38"/>
        <v>-606298.12028938427</v>
      </c>
      <c r="H249" s="6">
        <f t="shared" si="33"/>
        <v>-4163.833508988514</v>
      </c>
      <c r="I249" s="6">
        <f t="shared" si="34"/>
        <v>1140288.7462040493</v>
      </c>
      <c r="J249" s="6" t="str">
        <f>IF(B249&lt;&gt;"",IF(AND(Input!$H$54="Annual",MOD(B249,12)=0),Input!$J$54,IF(AND(Input!$H$54="1st Installment",B249=1),Input!$J$54,IF(Input!$H$54="Monthly",Input!$J$54,""))),"")</f>
        <v/>
      </c>
      <c r="K249" s="6">
        <f>IF(B249&lt;&gt;"",IF(AND(Input!$H$55="Annual",MOD(B249,12)=0),Input!$J$55,IF(AND(Input!$H$55="1st Installment",B249=1),Input!$J$55,IF(Input!$H$55="Monthly",Input!$J$55,""))),"")</f>
        <v>0</v>
      </c>
      <c r="L249" s="6" t="str">
        <f>IF(B249&lt;&gt;"",IF(AND(Input!$H$56="Annual",MOD(B249,12)=0),Input!$J$56,IF(AND(Input!$H$56="1st Installment",B249=1),Input!$J$56,IF(Input!$H$56="Monthly",Input!$J$56,""))),"")</f>
        <v/>
      </c>
      <c r="M249" s="6" t="str">
        <f>IF(B249&lt;&gt;"",IF(AND(Input!$H$57="Annual",MOD(B249,12)=0),Input!$J$57,IF(AND(Input!$H$57="1st Installment",B249=1),Input!$J$57,IF(Input!$H$57="Monthly",Input!$J$57,""))),"")</f>
        <v/>
      </c>
      <c r="N249" s="6" t="str">
        <f>IF(B249&lt;&gt;"",IF(AND(Input!$H$58="Annual",MOD(B249,12)=0),Input!$J$58,IF(AND(Input!$H$58="1st Installment",B249=1),Input!$J$58,IF(Input!$H$58="Monthly",Input!$J$58,IF(AND(Input!$H$58="End of the loan",B249=Input!$E$58),Input!$J$58,"")))),"")</f>
        <v/>
      </c>
      <c r="O249" s="6">
        <f t="shared" si="30"/>
        <v>0</v>
      </c>
      <c r="P249" s="4">
        <f t="shared" si="31"/>
        <v>4163.833508988514</v>
      </c>
      <c r="T249" s="9">
        <f t="shared" si="32"/>
        <v>51616</v>
      </c>
      <c r="U249" s="5">
        <f t="shared" si="35"/>
        <v>4163.83</v>
      </c>
    </row>
    <row r="250" spans="2:21">
      <c r="B250" s="16">
        <f t="shared" si="36"/>
        <v>233</v>
      </c>
      <c r="C250" s="9">
        <f t="shared" si="37"/>
        <v>51646</v>
      </c>
      <c r="D250" s="6">
        <f>IFERROR((PPMT(Input!$E$55/12,B250,$C$6,Input!$E$54,-Input!$E$65,0))," ")</f>
        <v>-1930.7680476722505</v>
      </c>
      <c r="E250" s="6">
        <f>IFERROR(((IPMT(Input!$E$55/12,B250,$C$6,Input!$E$54,-Input!$E$65,0)))," ")</f>
        <v>-2233.0654613162633</v>
      </c>
      <c r="F250" s="6">
        <f t="shared" si="39"/>
        <v>-361642.0218436229</v>
      </c>
      <c r="G250" s="6">
        <f t="shared" si="38"/>
        <v>-608531.18575070053</v>
      </c>
      <c r="H250" s="6">
        <f t="shared" si="33"/>
        <v>-4163.833508988514</v>
      </c>
      <c r="I250" s="6">
        <f t="shared" si="34"/>
        <v>1138357.9781563771</v>
      </c>
      <c r="J250" s="6" t="str">
        <f>IF(B250&lt;&gt;"",IF(AND(Input!$H$54="Annual",MOD(B250,12)=0),Input!$J$54,IF(AND(Input!$H$54="1st Installment",B250=1),Input!$J$54,IF(Input!$H$54="Monthly",Input!$J$54,""))),"")</f>
        <v/>
      </c>
      <c r="K250" s="6">
        <f>IF(B250&lt;&gt;"",IF(AND(Input!$H$55="Annual",MOD(B250,12)=0),Input!$J$55,IF(AND(Input!$H$55="1st Installment",B250=1),Input!$J$55,IF(Input!$H$55="Monthly",Input!$J$55,""))),"")</f>
        <v>0</v>
      </c>
      <c r="L250" s="6" t="str">
        <f>IF(B250&lt;&gt;"",IF(AND(Input!$H$56="Annual",MOD(B250,12)=0),Input!$J$56,IF(AND(Input!$H$56="1st Installment",B250=1),Input!$J$56,IF(Input!$H$56="Monthly",Input!$J$56,""))),"")</f>
        <v/>
      </c>
      <c r="M250" s="6" t="str">
        <f>IF(B250&lt;&gt;"",IF(AND(Input!$H$57="Annual",MOD(B250,12)=0),Input!$J$57,IF(AND(Input!$H$57="1st Installment",B250=1),Input!$J$57,IF(Input!$H$57="Monthly",Input!$J$57,""))),"")</f>
        <v/>
      </c>
      <c r="N250" s="6" t="str">
        <f>IF(B250&lt;&gt;"",IF(AND(Input!$H$58="Annual",MOD(B250,12)=0),Input!$J$58,IF(AND(Input!$H$58="1st Installment",B250=1),Input!$J$58,IF(Input!$H$58="Monthly",Input!$J$58,IF(AND(Input!$H$58="End of the loan",B250=Input!$E$58),Input!$J$58,"")))),"")</f>
        <v/>
      </c>
      <c r="O250" s="6">
        <f t="shared" si="30"/>
        <v>0</v>
      </c>
      <c r="P250" s="4">
        <f t="shared" si="31"/>
        <v>4163.833508988514</v>
      </c>
      <c r="T250" s="9">
        <f t="shared" si="32"/>
        <v>51646</v>
      </c>
      <c r="U250" s="5">
        <f t="shared" si="35"/>
        <v>4163.83</v>
      </c>
    </row>
    <row r="251" spans="2:21">
      <c r="B251" s="16">
        <f t="shared" si="36"/>
        <v>234</v>
      </c>
      <c r="C251" s="9">
        <f t="shared" si="37"/>
        <v>51677</v>
      </c>
      <c r="D251" s="6">
        <f>IFERROR((PPMT(Input!$E$55/12,B251,$C$6,Input!$E$54,-Input!$E$65,0))," ")</f>
        <v>-1934.5491350989421</v>
      </c>
      <c r="E251" s="6">
        <f>IFERROR(((IPMT(Input!$E$55/12,B251,$C$6,Input!$E$54,-Input!$E$65,0)))," ")</f>
        <v>-2229.2843738895717</v>
      </c>
      <c r="F251" s="6">
        <f t="shared" si="39"/>
        <v>-363576.57097872184</v>
      </c>
      <c r="G251" s="6">
        <f t="shared" si="38"/>
        <v>-610760.47012459009</v>
      </c>
      <c r="H251" s="6">
        <f t="shared" si="33"/>
        <v>-4163.833508988514</v>
      </c>
      <c r="I251" s="6">
        <f t="shared" si="34"/>
        <v>1136423.4290212782</v>
      </c>
      <c r="J251" s="6" t="str">
        <f>IF(B251&lt;&gt;"",IF(AND(Input!$H$54="Annual",MOD(B251,12)=0),Input!$J$54,IF(AND(Input!$H$54="1st Installment",B251=1),Input!$J$54,IF(Input!$H$54="Monthly",Input!$J$54,""))),"")</f>
        <v/>
      </c>
      <c r="K251" s="6">
        <f>IF(B251&lt;&gt;"",IF(AND(Input!$H$55="Annual",MOD(B251,12)=0),Input!$J$55,IF(AND(Input!$H$55="1st Installment",B251=1),Input!$J$55,IF(Input!$H$55="Monthly",Input!$J$55,""))),"")</f>
        <v>0</v>
      </c>
      <c r="L251" s="6" t="str">
        <f>IF(B251&lt;&gt;"",IF(AND(Input!$H$56="Annual",MOD(B251,12)=0),Input!$J$56,IF(AND(Input!$H$56="1st Installment",B251=1),Input!$J$56,IF(Input!$H$56="Monthly",Input!$J$56,""))),"")</f>
        <v/>
      </c>
      <c r="M251" s="6" t="str">
        <f>IF(B251&lt;&gt;"",IF(AND(Input!$H$57="Annual",MOD(B251,12)=0),Input!$J$57,IF(AND(Input!$H$57="1st Installment",B251=1),Input!$J$57,IF(Input!$H$57="Monthly",Input!$J$57,""))),"")</f>
        <v/>
      </c>
      <c r="N251" s="6" t="str">
        <f>IF(B251&lt;&gt;"",IF(AND(Input!$H$58="Annual",MOD(B251,12)=0),Input!$J$58,IF(AND(Input!$H$58="1st Installment",B251=1),Input!$J$58,IF(Input!$H$58="Monthly",Input!$J$58,IF(AND(Input!$H$58="End of the loan",B251=Input!$E$58),Input!$J$58,"")))),"")</f>
        <v/>
      </c>
      <c r="O251" s="6">
        <f t="shared" si="30"/>
        <v>0</v>
      </c>
      <c r="P251" s="4">
        <f t="shared" si="31"/>
        <v>4163.833508988514</v>
      </c>
      <c r="T251" s="9">
        <f t="shared" si="32"/>
        <v>51677</v>
      </c>
      <c r="U251" s="5">
        <f t="shared" si="35"/>
        <v>4163.83</v>
      </c>
    </row>
    <row r="252" spans="2:21">
      <c r="B252" s="16">
        <f t="shared" si="36"/>
        <v>235</v>
      </c>
      <c r="C252" s="9">
        <f t="shared" si="37"/>
        <v>51707</v>
      </c>
      <c r="D252" s="6">
        <f>IFERROR((PPMT(Input!$E$55/12,B252,$C$6,Input!$E$54,-Input!$E$65,0))," ")</f>
        <v>-1938.3376271551772</v>
      </c>
      <c r="E252" s="6">
        <f>IFERROR(((IPMT(Input!$E$55/12,B252,$C$6,Input!$E$54,-Input!$E$65,0)))," ")</f>
        <v>-2225.4958818333362</v>
      </c>
      <c r="F252" s="6">
        <f t="shared" si="39"/>
        <v>-365514.90860587702</v>
      </c>
      <c r="G252" s="6">
        <f t="shared" si="38"/>
        <v>-612985.96600642346</v>
      </c>
      <c r="H252" s="6">
        <f t="shared" si="33"/>
        <v>-4163.8335089885131</v>
      </c>
      <c r="I252" s="6">
        <f t="shared" si="34"/>
        <v>1134485.0913941229</v>
      </c>
      <c r="J252" s="6" t="str">
        <f>IF(B252&lt;&gt;"",IF(AND(Input!$H$54="Annual",MOD(B252,12)=0),Input!$J$54,IF(AND(Input!$H$54="1st Installment",B252=1),Input!$J$54,IF(Input!$H$54="Monthly",Input!$J$54,""))),"")</f>
        <v/>
      </c>
      <c r="K252" s="6">
        <f>IF(B252&lt;&gt;"",IF(AND(Input!$H$55="Annual",MOD(B252,12)=0),Input!$J$55,IF(AND(Input!$H$55="1st Installment",B252=1),Input!$J$55,IF(Input!$H$55="Monthly",Input!$J$55,""))),"")</f>
        <v>0</v>
      </c>
      <c r="L252" s="6" t="str">
        <f>IF(B252&lt;&gt;"",IF(AND(Input!$H$56="Annual",MOD(B252,12)=0),Input!$J$56,IF(AND(Input!$H$56="1st Installment",B252=1),Input!$J$56,IF(Input!$H$56="Monthly",Input!$J$56,""))),"")</f>
        <v/>
      </c>
      <c r="M252" s="6" t="str">
        <f>IF(B252&lt;&gt;"",IF(AND(Input!$H$57="Annual",MOD(B252,12)=0),Input!$J$57,IF(AND(Input!$H$57="1st Installment",B252=1),Input!$J$57,IF(Input!$H$57="Monthly",Input!$J$57,""))),"")</f>
        <v/>
      </c>
      <c r="N252" s="6" t="str">
        <f>IF(B252&lt;&gt;"",IF(AND(Input!$H$58="Annual",MOD(B252,12)=0),Input!$J$58,IF(AND(Input!$H$58="1st Installment",B252=1),Input!$J$58,IF(Input!$H$58="Monthly",Input!$J$58,IF(AND(Input!$H$58="End of the loan",B252=Input!$E$58),Input!$J$58,"")))),"")</f>
        <v/>
      </c>
      <c r="O252" s="6">
        <f t="shared" si="30"/>
        <v>0</v>
      </c>
      <c r="P252" s="4">
        <f t="shared" si="31"/>
        <v>4163.8335089885131</v>
      </c>
      <c r="T252" s="9">
        <f t="shared" si="32"/>
        <v>51707</v>
      </c>
      <c r="U252" s="5">
        <f t="shared" si="35"/>
        <v>4163.83</v>
      </c>
    </row>
    <row r="253" spans="2:21">
      <c r="B253" s="16">
        <f t="shared" si="36"/>
        <v>236</v>
      </c>
      <c r="C253" s="9">
        <f t="shared" si="37"/>
        <v>51738</v>
      </c>
      <c r="D253" s="6">
        <f>IFERROR((PPMT(Input!$E$55/12,B253,$C$6,Input!$E$54,-Input!$E$65,0))," ")</f>
        <v>-1942.1335383416895</v>
      </c>
      <c r="E253" s="6">
        <f>IFERROR(((IPMT(Input!$E$55/12,B253,$C$6,Input!$E$54,-Input!$E$65,0)))," ")</f>
        <v>-2221.6999706468246</v>
      </c>
      <c r="F253" s="6">
        <f t="shared" si="39"/>
        <v>-367457.04214421869</v>
      </c>
      <c r="G253" s="6">
        <f t="shared" si="38"/>
        <v>-615207.66597707034</v>
      </c>
      <c r="H253" s="6">
        <f t="shared" si="33"/>
        <v>-4163.833508988514</v>
      </c>
      <c r="I253" s="6">
        <f t="shared" si="34"/>
        <v>1132542.9578557813</v>
      </c>
      <c r="J253" s="6" t="str">
        <f>IF(B253&lt;&gt;"",IF(AND(Input!$H$54="Annual",MOD(B253,12)=0),Input!$J$54,IF(AND(Input!$H$54="1st Installment",B253=1),Input!$J$54,IF(Input!$H$54="Monthly",Input!$J$54,""))),"")</f>
        <v/>
      </c>
      <c r="K253" s="6">
        <f>IF(B253&lt;&gt;"",IF(AND(Input!$H$55="Annual",MOD(B253,12)=0),Input!$J$55,IF(AND(Input!$H$55="1st Installment",B253=1),Input!$J$55,IF(Input!$H$55="Monthly",Input!$J$55,""))),"")</f>
        <v>0</v>
      </c>
      <c r="L253" s="6" t="str">
        <f>IF(B253&lt;&gt;"",IF(AND(Input!$H$56="Annual",MOD(B253,12)=0),Input!$J$56,IF(AND(Input!$H$56="1st Installment",B253=1),Input!$J$56,IF(Input!$H$56="Monthly",Input!$J$56,""))),"")</f>
        <v/>
      </c>
      <c r="M253" s="6" t="str">
        <f>IF(B253&lt;&gt;"",IF(AND(Input!$H$57="Annual",MOD(B253,12)=0),Input!$J$57,IF(AND(Input!$H$57="1st Installment",B253=1),Input!$J$57,IF(Input!$H$57="Monthly",Input!$J$57,""))),"")</f>
        <v/>
      </c>
      <c r="N253" s="6" t="str">
        <f>IF(B253&lt;&gt;"",IF(AND(Input!$H$58="Annual",MOD(B253,12)=0),Input!$J$58,IF(AND(Input!$H$58="1st Installment",B253=1),Input!$J$58,IF(Input!$H$58="Monthly",Input!$J$58,IF(AND(Input!$H$58="End of the loan",B253=Input!$E$58),Input!$J$58,"")))),"")</f>
        <v/>
      </c>
      <c r="O253" s="6">
        <f t="shared" si="30"/>
        <v>0</v>
      </c>
      <c r="P253" s="4">
        <f t="shared" si="31"/>
        <v>4163.833508988514</v>
      </c>
      <c r="T253" s="9">
        <f t="shared" si="32"/>
        <v>51738</v>
      </c>
      <c r="U253" s="5">
        <f t="shared" si="35"/>
        <v>4163.83</v>
      </c>
    </row>
    <row r="254" spans="2:21">
      <c r="B254" s="16">
        <f t="shared" si="36"/>
        <v>237</v>
      </c>
      <c r="C254" s="9">
        <f t="shared" si="37"/>
        <v>51769</v>
      </c>
      <c r="D254" s="6">
        <f>IFERROR((PPMT(Input!$E$55/12,B254,$C$6,Input!$E$54,-Input!$E$65,0))," ")</f>
        <v>-1945.9368831876086</v>
      </c>
      <c r="E254" s="6">
        <f>IFERROR(((IPMT(Input!$E$55/12,B254,$C$6,Input!$E$54,-Input!$E$65,0)))," ")</f>
        <v>-2217.896625800905</v>
      </c>
      <c r="F254" s="6">
        <f t="shared" si="39"/>
        <v>-369402.97902740631</v>
      </c>
      <c r="G254" s="6">
        <f t="shared" si="38"/>
        <v>-617425.56260287121</v>
      </c>
      <c r="H254" s="6">
        <f t="shared" si="33"/>
        <v>-4163.8335089885131</v>
      </c>
      <c r="I254" s="6">
        <f t="shared" si="34"/>
        <v>1130597.0209725937</v>
      </c>
      <c r="J254" s="6" t="str">
        <f>IF(B254&lt;&gt;"",IF(AND(Input!$H$54="Annual",MOD(B254,12)=0),Input!$J$54,IF(AND(Input!$H$54="1st Installment",B254=1),Input!$J$54,IF(Input!$H$54="Monthly",Input!$J$54,""))),"")</f>
        <v/>
      </c>
      <c r="K254" s="6">
        <f>IF(B254&lt;&gt;"",IF(AND(Input!$H$55="Annual",MOD(B254,12)=0),Input!$J$55,IF(AND(Input!$H$55="1st Installment",B254=1),Input!$J$55,IF(Input!$H$55="Monthly",Input!$J$55,""))),"")</f>
        <v>0</v>
      </c>
      <c r="L254" s="6" t="str">
        <f>IF(B254&lt;&gt;"",IF(AND(Input!$H$56="Annual",MOD(B254,12)=0),Input!$J$56,IF(AND(Input!$H$56="1st Installment",B254=1),Input!$J$56,IF(Input!$H$56="Monthly",Input!$J$56,""))),"")</f>
        <v/>
      </c>
      <c r="M254" s="6" t="str">
        <f>IF(B254&lt;&gt;"",IF(AND(Input!$H$57="Annual",MOD(B254,12)=0),Input!$J$57,IF(AND(Input!$H$57="1st Installment",B254=1),Input!$J$57,IF(Input!$H$57="Monthly",Input!$J$57,""))),"")</f>
        <v/>
      </c>
      <c r="N254" s="6" t="str">
        <f>IF(B254&lt;&gt;"",IF(AND(Input!$H$58="Annual",MOD(B254,12)=0),Input!$J$58,IF(AND(Input!$H$58="1st Installment",B254=1),Input!$J$58,IF(Input!$H$58="Monthly",Input!$J$58,IF(AND(Input!$H$58="End of the loan",B254=Input!$E$58),Input!$J$58,"")))),"")</f>
        <v/>
      </c>
      <c r="O254" s="6">
        <f t="shared" si="30"/>
        <v>0</v>
      </c>
      <c r="P254" s="4">
        <f t="shared" si="31"/>
        <v>4163.8335089885131</v>
      </c>
      <c r="T254" s="9">
        <f t="shared" si="32"/>
        <v>51769</v>
      </c>
      <c r="U254" s="5">
        <f t="shared" si="35"/>
        <v>4163.83</v>
      </c>
    </row>
    <row r="255" spans="2:21">
      <c r="B255" s="16">
        <f t="shared" si="36"/>
        <v>238</v>
      </c>
      <c r="C255" s="9">
        <f t="shared" si="37"/>
        <v>51799</v>
      </c>
      <c r="D255" s="6">
        <f>IFERROR((PPMT(Input!$E$55/12,B255,$C$6,Input!$E$54,-Input!$E$65,0))," ")</f>
        <v>-1949.7476762505178</v>
      </c>
      <c r="E255" s="6">
        <f>IFERROR(((IPMT(Input!$E$55/12,B255,$C$6,Input!$E$54,-Input!$E$65,0)))," ")</f>
        <v>-2214.0858327379956</v>
      </c>
      <c r="F255" s="6">
        <f t="shared" si="39"/>
        <v>-371352.72670365684</v>
      </c>
      <c r="G255" s="6">
        <f t="shared" si="38"/>
        <v>-619639.64843560918</v>
      </c>
      <c r="H255" s="6">
        <f t="shared" si="33"/>
        <v>-4163.8335089885131</v>
      </c>
      <c r="I255" s="6">
        <f t="shared" si="34"/>
        <v>1128647.2732963432</v>
      </c>
      <c r="J255" s="6" t="str">
        <f>IF(B255&lt;&gt;"",IF(AND(Input!$H$54="Annual",MOD(B255,12)=0),Input!$J$54,IF(AND(Input!$H$54="1st Installment",B255=1),Input!$J$54,IF(Input!$H$54="Monthly",Input!$J$54,""))),"")</f>
        <v/>
      </c>
      <c r="K255" s="6">
        <f>IF(B255&lt;&gt;"",IF(AND(Input!$H$55="Annual",MOD(B255,12)=0),Input!$J$55,IF(AND(Input!$H$55="1st Installment",B255=1),Input!$J$55,IF(Input!$H$55="Monthly",Input!$J$55,""))),"")</f>
        <v>0</v>
      </c>
      <c r="L255" s="6" t="str">
        <f>IF(B255&lt;&gt;"",IF(AND(Input!$H$56="Annual",MOD(B255,12)=0),Input!$J$56,IF(AND(Input!$H$56="1st Installment",B255=1),Input!$J$56,IF(Input!$H$56="Monthly",Input!$J$56,""))),"")</f>
        <v/>
      </c>
      <c r="M255" s="6" t="str">
        <f>IF(B255&lt;&gt;"",IF(AND(Input!$H$57="Annual",MOD(B255,12)=0),Input!$J$57,IF(AND(Input!$H$57="1st Installment",B255=1),Input!$J$57,IF(Input!$H$57="Monthly",Input!$J$57,""))),"")</f>
        <v/>
      </c>
      <c r="N255" s="6" t="str">
        <f>IF(B255&lt;&gt;"",IF(AND(Input!$H$58="Annual",MOD(B255,12)=0),Input!$J$58,IF(AND(Input!$H$58="1st Installment",B255=1),Input!$J$58,IF(Input!$H$58="Monthly",Input!$J$58,IF(AND(Input!$H$58="End of the loan",B255=Input!$E$58),Input!$J$58,"")))),"")</f>
        <v/>
      </c>
      <c r="O255" s="6">
        <f t="shared" si="30"/>
        <v>0</v>
      </c>
      <c r="P255" s="4">
        <f t="shared" si="31"/>
        <v>4163.8335089885131</v>
      </c>
      <c r="T255" s="9">
        <f t="shared" si="32"/>
        <v>51799</v>
      </c>
      <c r="U255" s="5">
        <f t="shared" si="35"/>
        <v>4163.83</v>
      </c>
    </row>
    <row r="256" spans="2:21">
      <c r="B256" s="16">
        <f t="shared" si="36"/>
        <v>239</v>
      </c>
      <c r="C256" s="9">
        <f t="shared" si="37"/>
        <v>51830</v>
      </c>
      <c r="D256" s="6">
        <f>IFERROR((PPMT(Input!$E$55/12,B256,$C$6,Input!$E$54,-Input!$E$65,0))," ")</f>
        <v>-1953.5659321165083</v>
      </c>
      <c r="E256" s="6">
        <f>IFERROR(((IPMT(Input!$E$55/12,B256,$C$6,Input!$E$54,-Input!$E$65,0)))," ")</f>
        <v>-2210.2675768720051</v>
      </c>
      <c r="F256" s="6">
        <f t="shared" si="39"/>
        <v>-373306.29263577337</v>
      </c>
      <c r="G256" s="6">
        <f t="shared" si="38"/>
        <v>-621849.9160124812</v>
      </c>
      <c r="H256" s="6">
        <f t="shared" si="33"/>
        <v>-4163.8335089885131</v>
      </c>
      <c r="I256" s="6">
        <f t="shared" si="34"/>
        <v>1126693.7073642267</v>
      </c>
      <c r="J256" s="6" t="str">
        <f>IF(B256&lt;&gt;"",IF(AND(Input!$H$54="Annual",MOD(B256,12)=0),Input!$J$54,IF(AND(Input!$H$54="1st Installment",B256=1),Input!$J$54,IF(Input!$H$54="Monthly",Input!$J$54,""))),"")</f>
        <v/>
      </c>
      <c r="K256" s="6">
        <f>IF(B256&lt;&gt;"",IF(AND(Input!$H$55="Annual",MOD(B256,12)=0),Input!$J$55,IF(AND(Input!$H$55="1st Installment",B256=1),Input!$J$55,IF(Input!$H$55="Monthly",Input!$J$55,""))),"")</f>
        <v>0</v>
      </c>
      <c r="L256" s="6" t="str">
        <f>IF(B256&lt;&gt;"",IF(AND(Input!$H$56="Annual",MOD(B256,12)=0),Input!$J$56,IF(AND(Input!$H$56="1st Installment",B256=1),Input!$J$56,IF(Input!$H$56="Monthly",Input!$J$56,""))),"")</f>
        <v/>
      </c>
      <c r="M256" s="6" t="str">
        <f>IF(B256&lt;&gt;"",IF(AND(Input!$H$57="Annual",MOD(B256,12)=0),Input!$J$57,IF(AND(Input!$H$57="1st Installment",B256=1),Input!$J$57,IF(Input!$H$57="Monthly",Input!$J$57,""))),"")</f>
        <v/>
      </c>
      <c r="N256" s="6" t="str">
        <f>IF(B256&lt;&gt;"",IF(AND(Input!$H$58="Annual",MOD(B256,12)=0),Input!$J$58,IF(AND(Input!$H$58="1st Installment",B256=1),Input!$J$58,IF(Input!$H$58="Monthly",Input!$J$58,IF(AND(Input!$H$58="End of the loan",B256=Input!$E$58),Input!$J$58,"")))),"")</f>
        <v/>
      </c>
      <c r="O256" s="6">
        <f t="shared" si="30"/>
        <v>0</v>
      </c>
      <c r="P256" s="4">
        <f t="shared" si="31"/>
        <v>4163.8335089885131</v>
      </c>
      <c r="T256" s="9">
        <f t="shared" si="32"/>
        <v>51830</v>
      </c>
      <c r="U256" s="5">
        <f t="shared" si="35"/>
        <v>4163.83</v>
      </c>
    </row>
    <row r="257" spans="2:21">
      <c r="B257" s="16">
        <f t="shared" si="36"/>
        <v>240</v>
      </c>
      <c r="C257" s="9">
        <f t="shared" si="37"/>
        <v>51860</v>
      </c>
      <c r="D257" s="6">
        <f>IFERROR((PPMT(Input!$E$55/12,B257,$C$6,Input!$E$54,-Input!$E$65,0))," ")</f>
        <v>-1957.3916654002367</v>
      </c>
      <c r="E257" s="6">
        <f>IFERROR(((IPMT(Input!$E$55/12,B257,$C$6,Input!$E$54,-Input!$E$65,0)))," ")</f>
        <v>-2206.4418435882772</v>
      </c>
      <c r="F257" s="6">
        <f t="shared" si="39"/>
        <v>-375263.68430117361</v>
      </c>
      <c r="G257" s="6">
        <f t="shared" si="38"/>
        <v>-624056.35785606946</v>
      </c>
      <c r="H257" s="6">
        <f t="shared" si="33"/>
        <v>-4163.833508988514</v>
      </c>
      <c r="I257" s="6">
        <f t="shared" si="34"/>
        <v>1124736.3156988265</v>
      </c>
      <c r="J257" s="6" t="str">
        <f>IF(B257&lt;&gt;"",IF(AND(Input!$H$54="Annual",MOD(B257,12)=0),Input!$J$54,IF(AND(Input!$H$54="1st Installment",B257=1),Input!$J$54,IF(Input!$H$54="Monthly",Input!$J$54,""))),"")</f>
        <v/>
      </c>
      <c r="K257" s="6">
        <f>IF(B257&lt;&gt;"",IF(AND(Input!$H$55="Annual",MOD(B257,12)=0),Input!$J$55,IF(AND(Input!$H$55="1st Installment",B257=1),Input!$J$55,IF(Input!$H$55="Monthly",Input!$J$55,""))),"")</f>
        <v>0</v>
      </c>
      <c r="L257" s="6" t="str">
        <f>IF(B257&lt;&gt;"",IF(AND(Input!$H$56="Annual",MOD(B257,12)=0),Input!$J$56,IF(AND(Input!$H$56="1st Installment",B257=1),Input!$J$56,IF(Input!$H$56="Monthly",Input!$J$56,""))),"")</f>
        <v/>
      </c>
      <c r="M257" s="6" t="str">
        <f>IF(B257&lt;&gt;"",IF(AND(Input!$H$57="Annual",MOD(B257,12)=0),Input!$J$57,IF(AND(Input!$H$57="1st Installment",B257=1),Input!$J$57,IF(Input!$H$57="Monthly",Input!$J$57,""))),"")</f>
        <v/>
      </c>
      <c r="N257" s="6" t="str">
        <f>IF(B257&lt;&gt;"",IF(AND(Input!$H$58="Annual",MOD(B257,12)=0),Input!$J$58,IF(AND(Input!$H$58="1st Installment",B257=1),Input!$J$58,IF(Input!$H$58="Monthly",Input!$J$58,IF(AND(Input!$H$58="End of the loan",B257=Input!$E$58),Input!$J$58,"")))),"")</f>
        <v/>
      </c>
      <c r="O257" s="6">
        <f t="shared" si="30"/>
        <v>0</v>
      </c>
      <c r="P257" s="4">
        <f t="shared" si="31"/>
        <v>4163.833508988514</v>
      </c>
      <c r="T257" s="9">
        <f t="shared" si="32"/>
        <v>51860</v>
      </c>
      <c r="U257" s="5">
        <f t="shared" si="35"/>
        <v>4163.83</v>
      </c>
    </row>
    <row r="258" spans="2:21">
      <c r="B258" s="16">
        <f t="shared" si="36"/>
        <v>241</v>
      </c>
      <c r="C258" s="9">
        <f t="shared" si="37"/>
        <v>51891</v>
      </c>
      <c r="D258" s="6">
        <f>IFERROR((PPMT(Input!$E$55/12,B258,$C$6,Input!$E$54,-Input!$E$65,0))," ")</f>
        <v>-1961.2248907449787</v>
      </c>
      <c r="E258" s="6">
        <f>IFERROR(((IPMT(Input!$E$55/12,B258,$C$6,Input!$E$54,-Input!$E$65,0)))," ")</f>
        <v>-2202.6086182435351</v>
      </c>
      <c r="F258" s="6">
        <f t="shared" si="39"/>
        <v>-377224.90919191856</v>
      </c>
      <c r="G258" s="6">
        <f t="shared" si="38"/>
        <v>-626258.96647431294</v>
      </c>
      <c r="H258" s="6">
        <f t="shared" si="33"/>
        <v>-4163.833508988514</v>
      </c>
      <c r="I258" s="6">
        <f t="shared" si="34"/>
        <v>1122775.0908080814</v>
      </c>
      <c r="J258" s="6" t="str">
        <f>IF(B258&lt;&gt;"",IF(AND(Input!$H$54="Annual",MOD(B258,12)=0),Input!$J$54,IF(AND(Input!$H$54="1st Installment",B258=1),Input!$J$54,IF(Input!$H$54="Monthly",Input!$J$54,""))),"")</f>
        <v/>
      </c>
      <c r="K258" s="6">
        <f>IF(B258&lt;&gt;"",IF(AND(Input!$H$55="Annual",MOD(B258,12)=0),Input!$J$55,IF(AND(Input!$H$55="1st Installment",B258=1),Input!$J$55,IF(Input!$H$55="Monthly",Input!$J$55,""))),"")</f>
        <v>0</v>
      </c>
      <c r="L258" s="6" t="str">
        <f>IF(B258&lt;&gt;"",IF(AND(Input!$H$56="Annual",MOD(B258,12)=0),Input!$J$56,IF(AND(Input!$H$56="1st Installment",B258=1),Input!$J$56,IF(Input!$H$56="Monthly",Input!$J$56,""))),"")</f>
        <v/>
      </c>
      <c r="M258" s="6" t="str">
        <f>IF(B258&lt;&gt;"",IF(AND(Input!$H$57="Annual",MOD(B258,12)=0),Input!$J$57,IF(AND(Input!$H$57="1st Installment",B258=1),Input!$J$57,IF(Input!$H$57="Monthly",Input!$J$57,""))),"")</f>
        <v/>
      </c>
      <c r="N258" s="6" t="str">
        <f>IF(B258&lt;&gt;"",IF(AND(Input!$H$58="Annual",MOD(B258,12)=0),Input!$J$58,IF(AND(Input!$H$58="1st Installment",B258=1),Input!$J$58,IF(Input!$H$58="Monthly",Input!$J$58,IF(AND(Input!$H$58="End of the loan",B258=Input!$E$58),Input!$J$58,"")))),"")</f>
        <v/>
      </c>
      <c r="O258" s="6">
        <f t="shared" si="30"/>
        <v>0</v>
      </c>
      <c r="P258" s="4">
        <f t="shared" si="31"/>
        <v>4163.833508988514</v>
      </c>
      <c r="T258" s="9">
        <f t="shared" si="32"/>
        <v>51891</v>
      </c>
      <c r="U258" s="5">
        <f t="shared" si="35"/>
        <v>4163.83</v>
      </c>
    </row>
    <row r="259" spans="2:21">
      <c r="B259" s="16">
        <f t="shared" si="36"/>
        <v>242</v>
      </c>
      <c r="C259" s="9">
        <f t="shared" si="37"/>
        <v>51922</v>
      </c>
      <c r="D259" s="6">
        <f>IFERROR((PPMT(Input!$E$55/12,B259,$C$6,Input!$E$54,-Input!$E$65,0))," ")</f>
        <v>-1965.0656228226874</v>
      </c>
      <c r="E259" s="6">
        <f>IFERROR(((IPMT(Input!$E$55/12,B259,$C$6,Input!$E$54,-Input!$E$65,0)))," ")</f>
        <v>-2198.767886165826</v>
      </c>
      <c r="F259" s="6">
        <f t="shared" si="39"/>
        <v>-379189.97481474123</v>
      </c>
      <c r="G259" s="6">
        <f t="shared" si="38"/>
        <v>-628457.73436047882</v>
      </c>
      <c r="H259" s="6">
        <f t="shared" si="33"/>
        <v>-4163.8335089885131</v>
      </c>
      <c r="I259" s="6">
        <f t="shared" si="34"/>
        <v>1120810.0251852588</v>
      </c>
      <c r="J259" s="6" t="str">
        <f>IF(B259&lt;&gt;"",IF(AND(Input!$H$54="Annual",MOD(B259,12)=0),Input!$J$54,IF(AND(Input!$H$54="1st Installment",B259=1),Input!$J$54,IF(Input!$H$54="Monthly",Input!$J$54,""))),"")</f>
        <v/>
      </c>
      <c r="K259" s="6">
        <f>IF(B259&lt;&gt;"",IF(AND(Input!$H$55="Annual",MOD(B259,12)=0),Input!$J$55,IF(AND(Input!$H$55="1st Installment",B259=1),Input!$J$55,IF(Input!$H$55="Monthly",Input!$J$55,""))),"")</f>
        <v>0</v>
      </c>
      <c r="L259" s="6" t="str">
        <f>IF(B259&lt;&gt;"",IF(AND(Input!$H$56="Annual",MOD(B259,12)=0),Input!$J$56,IF(AND(Input!$H$56="1st Installment",B259=1),Input!$J$56,IF(Input!$H$56="Monthly",Input!$J$56,""))),"")</f>
        <v/>
      </c>
      <c r="M259" s="6" t="str">
        <f>IF(B259&lt;&gt;"",IF(AND(Input!$H$57="Annual",MOD(B259,12)=0),Input!$J$57,IF(AND(Input!$H$57="1st Installment",B259=1),Input!$J$57,IF(Input!$H$57="Monthly",Input!$J$57,""))),"")</f>
        <v/>
      </c>
      <c r="N259" s="6" t="str">
        <f>IF(B259&lt;&gt;"",IF(AND(Input!$H$58="Annual",MOD(B259,12)=0),Input!$J$58,IF(AND(Input!$H$58="1st Installment",B259=1),Input!$J$58,IF(Input!$H$58="Monthly",Input!$J$58,IF(AND(Input!$H$58="End of the loan",B259=Input!$E$58),Input!$J$58,"")))),"")</f>
        <v/>
      </c>
      <c r="O259" s="6">
        <f t="shared" si="30"/>
        <v>0</v>
      </c>
      <c r="P259" s="4">
        <f t="shared" si="31"/>
        <v>4163.8335089885131</v>
      </c>
      <c r="T259" s="9">
        <f t="shared" si="32"/>
        <v>51922</v>
      </c>
      <c r="U259" s="5">
        <f t="shared" si="35"/>
        <v>4163.83</v>
      </c>
    </row>
    <row r="260" spans="2:21">
      <c r="B260" s="16">
        <f t="shared" si="36"/>
        <v>243</v>
      </c>
      <c r="C260" s="9">
        <f t="shared" si="37"/>
        <v>51950</v>
      </c>
      <c r="D260" s="6">
        <f>IFERROR((PPMT(Input!$E$55/12,B260,$C$6,Input!$E$54,-Input!$E$65,0))," ")</f>
        <v>-1968.9138763340484</v>
      </c>
      <c r="E260" s="6">
        <f>IFERROR(((IPMT(Input!$E$55/12,B260,$C$6,Input!$E$54,-Input!$E$65,0)))," ")</f>
        <v>-2194.9196326544652</v>
      </c>
      <c r="F260" s="6">
        <f t="shared" si="39"/>
        <v>-381158.88869107526</v>
      </c>
      <c r="G260" s="6">
        <f t="shared" si="38"/>
        <v>-630652.65399313334</v>
      </c>
      <c r="H260" s="6">
        <f t="shared" si="33"/>
        <v>-4163.8335089885131</v>
      </c>
      <c r="I260" s="6">
        <f t="shared" si="34"/>
        <v>1118841.1113089249</v>
      </c>
      <c r="J260" s="6" t="str">
        <f>IF(B260&lt;&gt;"",IF(AND(Input!$H$54="Annual",MOD(B260,12)=0),Input!$J$54,IF(AND(Input!$H$54="1st Installment",B260=1),Input!$J$54,IF(Input!$H$54="Monthly",Input!$J$54,""))),"")</f>
        <v/>
      </c>
      <c r="K260" s="6">
        <f>IF(B260&lt;&gt;"",IF(AND(Input!$H$55="Annual",MOD(B260,12)=0),Input!$J$55,IF(AND(Input!$H$55="1st Installment",B260=1),Input!$J$55,IF(Input!$H$55="Monthly",Input!$J$55,""))),"")</f>
        <v>0</v>
      </c>
      <c r="L260" s="6" t="str">
        <f>IF(B260&lt;&gt;"",IF(AND(Input!$H$56="Annual",MOD(B260,12)=0),Input!$J$56,IF(AND(Input!$H$56="1st Installment",B260=1),Input!$J$56,IF(Input!$H$56="Monthly",Input!$J$56,""))),"")</f>
        <v/>
      </c>
      <c r="M260" s="6" t="str">
        <f>IF(B260&lt;&gt;"",IF(AND(Input!$H$57="Annual",MOD(B260,12)=0),Input!$J$57,IF(AND(Input!$H$57="1st Installment",B260=1),Input!$J$57,IF(Input!$H$57="Monthly",Input!$J$57,""))),"")</f>
        <v/>
      </c>
      <c r="N260" s="6" t="str">
        <f>IF(B260&lt;&gt;"",IF(AND(Input!$H$58="Annual",MOD(B260,12)=0),Input!$J$58,IF(AND(Input!$H$58="1st Installment",B260=1),Input!$J$58,IF(Input!$H$58="Monthly",Input!$J$58,IF(AND(Input!$H$58="End of the loan",B260=Input!$E$58),Input!$J$58,"")))),"")</f>
        <v/>
      </c>
      <c r="O260" s="6">
        <f t="shared" si="30"/>
        <v>0</v>
      </c>
      <c r="P260" s="4">
        <f t="shared" si="31"/>
        <v>4163.8335089885131</v>
      </c>
      <c r="T260" s="9">
        <f t="shared" si="32"/>
        <v>51950</v>
      </c>
      <c r="U260" s="5">
        <f t="shared" si="35"/>
        <v>4163.83</v>
      </c>
    </row>
    <row r="261" spans="2:21">
      <c r="B261" s="16">
        <f t="shared" si="36"/>
        <v>244</v>
      </c>
      <c r="C261" s="9">
        <f t="shared" si="37"/>
        <v>51981</v>
      </c>
      <c r="D261" s="6">
        <f>IFERROR((PPMT(Input!$E$55/12,B261,$C$6,Input!$E$54,-Input!$E$65,0))," ")</f>
        <v>-1972.7696660085362</v>
      </c>
      <c r="E261" s="6">
        <f>IFERROR(((IPMT(Input!$E$55/12,B261,$C$6,Input!$E$54,-Input!$E$65,0)))," ")</f>
        <v>-2191.0638429799778</v>
      </c>
      <c r="F261" s="6">
        <f t="shared" si="39"/>
        <v>-383131.6583570838</v>
      </c>
      <c r="G261" s="6">
        <f t="shared" si="38"/>
        <v>-632843.7178361133</v>
      </c>
      <c r="H261" s="6">
        <f t="shared" si="33"/>
        <v>-4163.833508988514</v>
      </c>
      <c r="I261" s="6">
        <f t="shared" si="34"/>
        <v>1116868.3416429162</v>
      </c>
      <c r="J261" s="6" t="str">
        <f>IF(B261&lt;&gt;"",IF(AND(Input!$H$54="Annual",MOD(B261,12)=0),Input!$J$54,IF(AND(Input!$H$54="1st Installment",B261=1),Input!$J$54,IF(Input!$H$54="Monthly",Input!$J$54,""))),"")</f>
        <v/>
      </c>
      <c r="K261" s="6">
        <f>IF(B261&lt;&gt;"",IF(AND(Input!$H$55="Annual",MOD(B261,12)=0),Input!$J$55,IF(AND(Input!$H$55="1st Installment",B261=1),Input!$J$55,IF(Input!$H$55="Monthly",Input!$J$55,""))),"")</f>
        <v>0</v>
      </c>
      <c r="L261" s="6" t="str">
        <f>IF(B261&lt;&gt;"",IF(AND(Input!$H$56="Annual",MOD(B261,12)=0),Input!$J$56,IF(AND(Input!$H$56="1st Installment",B261=1),Input!$J$56,IF(Input!$H$56="Monthly",Input!$J$56,""))),"")</f>
        <v/>
      </c>
      <c r="M261" s="6" t="str">
        <f>IF(B261&lt;&gt;"",IF(AND(Input!$H$57="Annual",MOD(B261,12)=0),Input!$J$57,IF(AND(Input!$H$57="1st Installment",B261=1),Input!$J$57,IF(Input!$H$57="Monthly",Input!$J$57,""))),"")</f>
        <v/>
      </c>
      <c r="N261" s="6" t="str">
        <f>IF(B261&lt;&gt;"",IF(AND(Input!$H$58="Annual",MOD(B261,12)=0),Input!$J$58,IF(AND(Input!$H$58="1st Installment",B261=1),Input!$J$58,IF(Input!$H$58="Monthly",Input!$J$58,IF(AND(Input!$H$58="End of the loan",B261=Input!$E$58),Input!$J$58,"")))),"")</f>
        <v/>
      </c>
      <c r="O261" s="6">
        <f t="shared" si="30"/>
        <v>0</v>
      </c>
      <c r="P261" s="4">
        <f t="shared" si="31"/>
        <v>4163.833508988514</v>
      </c>
      <c r="T261" s="9">
        <f t="shared" si="32"/>
        <v>51981</v>
      </c>
      <c r="U261" s="5">
        <f t="shared" si="35"/>
        <v>4163.83</v>
      </c>
    </row>
    <row r="262" spans="2:21">
      <c r="B262" s="16">
        <f t="shared" si="36"/>
        <v>245</v>
      </c>
      <c r="C262" s="9">
        <f t="shared" si="37"/>
        <v>52011</v>
      </c>
      <c r="D262" s="6">
        <f>IFERROR((PPMT(Input!$E$55/12,B262,$C$6,Input!$E$54,-Input!$E$65,0))," ")</f>
        <v>-1976.6330066044695</v>
      </c>
      <c r="E262" s="6">
        <f>IFERROR(((IPMT(Input!$E$55/12,B262,$C$6,Input!$E$54,-Input!$E$65,0)))," ")</f>
        <v>-2187.2005023840443</v>
      </c>
      <c r="F262" s="6">
        <f t="shared" si="39"/>
        <v>-385108.29136368824</v>
      </c>
      <c r="G262" s="6">
        <f t="shared" si="38"/>
        <v>-635030.91833849729</v>
      </c>
      <c r="H262" s="6">
        <f t="shared" si="33"/>
        <v>-4163.833508988514</v>
      </c>
      <c r="I262" s="6">
        <f t="shared" si="34"/>
        <v>1114891.7086363118</v>
      </c>
      <c r="J262" s="6" t="str">
        <f>IF(B262&lt;&gt;"",IF(AND(Input!$H$54="Annual",MOD(B262,12)=0),Input!$J$54,IF(AND(Input!$H$54="1st Installment",B262=1),Input!$J$54,IF(Input!$H$54="Monthly",Input!$J$54,""))),"")</f>
        <v/>
      </c>
      <c r="K262" s="6">
        <f>IF(B262&lt;&gt;"",IF(AND(Input!$H$55="Annual",MOD(B262,12)=0),Input!$J$55,IF(AND(Input!$H$55="1st Installment",B262=1),Input!$J$55,IF(Input!$H$55="Monthly",Input!$J$55,""))),"")</f>
        <v>0</v>
      </c>
      <c r="L262" s="6" t="str">
        <f>IF(B262&lt;&gt;"",IF(AND(Input!$H$56="Annual",MOD(B262,12)=0),Input!$J$56,IF(AND(Input!$H$56="1st Installment",B262=1),Input!$J$56,IF(Input!$H$56="Monthly",Input!$J$56,""))),"")</f>
        <v/>
      </c>
      <c r="M262" s="6" t="str">
        <f>IF(B262&lt;&gt;"",IF(AND(Input!$H$57="Annual",MOD(B262,12)=0),Input!$J$57,IF(AND(Input!$H$57="1st Installment",B262=1),Input!$J$57,IF(Input!$H$57="Monthly",Input!$J$57,""))),"")</f>
        <v/>
      </c>
      <c r="N262" s="6" t="str">
        <f>IF(B262&lt;&gt;"",IF(AND(Input!$H$58="Annual",MOD(B262,12)=0),Input!$J$58,IF(AND(Input!$H$58="1st Installment",B262=1),Input!$J$58,IF(Input!$H$58="Monthly",Input!$J$58,IF(AND(Input!$H$58="End of the loan",B262=Input!$E$58),Input!$J$58,"")))),"")</f>
        <v/>
      </c>
      <c r="O262" s="6">
        <f t="shared" si="30"/>
        <v>0</v>
      </c>
      <c r="P262" s="4">
        <f t="shared" si="31"/>
        <v>4163.833508988514</v>
      </c>
      <c r="T262" s="9">
        <f t="shared" si="32"/>
        <v>52011</v>
      </c>
      <c r="U262" s="5">
        <f t="shared" si="35"/>
        <v>4163.83</v>
      </c>
    </row>
    <row r="263" spans="2:21">
      <c r="B263" s="16">
        <f t="shared" si="36"/>
        <v>246</v>
      </c>
      <c r="C263" s="9">
        <f t="shared" si="37"/>
        <v>52042</v>
      </c>
      <c r="D263" s="6">
        <f>IFERROR((PPMT(Input!$E$55/12,B263,$C$6,Input!$E$54,-Input!$E$65,0))," ")</f>
        <v>-1980.5039129090699</v>
      </c>
      <c r="E263" s="6">
        <f>IFERROR(((IPMT(Input!$E$55/12,B263,$C$6,Input!$E$54,-Input!$E$65,0)))," ")</f>
        <v>-2183.3295960794439</v>
      </c>
      <c r="F263" s="6">
        <f t="shared" si="39"/>
        <v>-387088.79527659732</v>
      </c>
      <c r="G263" s="6">
        <f t="shared" si="38"/>
        <v>-637214.24793457671</v>
      </c>
      <c r="H263" s="6">
        <f t="shared" si="33"/>
        <v>-4163.833508988514</v>
      </c>
      <c r="I263" s="6">
        <f t="shared" si="34"/>
        <v>1112911.2047234026</v>
      </c>
      <c r="J263" s="6" t="str">
        <f>IF(B263&lt;&gt;"",IF(AND(Input!$H$54="Annual",MOD(B263,12)=0),Input!$J$54,IF(AND(Input!$H$54="1st Installment",B263=1),Input!$J$54,IF(Input!$H$54="Monthly",Input!$J$54,""))),"")</f>
        <v/>
      </c>
      <c r="K263" s="6">
        <f>IF(B263&lt;&gt;"",IF(AND(Input!$H$55="Annual",MOD(B263,12)=0),Input!$J$55,IF(AND(Input!$H$55="1st Installment",B263=1),Input!$J$55,IF(Input!$H$55="Monthly",Input!$J$55,""))),"")</f>
        <v>0</v>
      </c>
      <c r="L263" s="6" t="str">
        <f>IF(B263&lt;&gt;"",IF(AND(Input!$H$56="Annual",MOD(B263,12)=0),Input!$J$56,IF(AND(Input!$H$56="1st Installment",B263=1),Input!$J$56,IF(Input!$H$56="Monthly",Input!$J$56,""))),"")</f>
        <v/>
      </c>
      <c r="M263" s="6" t="str">
        <f>IF(B263&lt;&gt;"",IF(AND(Input!$H$57="Annual",MOD(B263,12)=0),Input!$J$57,IF(AND(Input!$H$57="1st Installment",B263=1),Input!$J$57,IF(Input!$H$57="Monthly",Input!$J$57,""))),"")</f>
        <v/>
      </c>
      <c r="N263" s="6" t="str">
        <f>IF(B263&lt;&gt;"",IF(AND(Input!$H$58="Annual",MOD(B263,12)=0),Input!$J$58,IF(AND(Input!$H$58="1st Installment",B263=1),Input!$J$58,IF(Input!$H$58="Monthly",Input!$J$58,IF(AND(Input!$H$58="End of the loan",B263=Input!$E$58),Input!$J$58,"")))),"")</f>
        <v/>
      </c>
      <c r="O263" s="6">
        <f t="shared" si="30"/>
        <v>0</v>
      </c>
      <c r="P263" s="4">
        <f t="shared" si="31"/>
        <v>4163.833508988514</v>
      </c>
      <c r="T263" s="9">
        <f t="shared" si="32"/>
        <v>52042</v>
      </c>
      <c r="U263" s="5">
        <f t="shared" si="35"/>
        <v>4163.83</v>
      </c>
    </row>
    <row r="264" spans="2:21">
      <c r="B264" s="16">
        <f t="shared" si="36"/>
        <v>247</v>
      </c>
      <c r="C264" s="9">
        <f t="shared" si="37"/>
        <v>52072</v>
      </c>
      <c r="D264" s="6">
        <f>IFERROR((PPMT(Input!$E$55/12,B264,$C$6,Input!$E$54,-Input!$E$65,0))," ")</f>
        <v>-1984.3823997385168</v>
      </c>
      <c r="E264" s="6">
        <f>IFERROR(((IPMT(Input!$E$55/12,B264,$C$6,Input!$E$54,-Input!$E$65,0)))," ")</f>
        <v>-2179.4511092499965</v>
      </c>
      <c r="F264" s="6">
        <f t="shared" si="39"/>
        <v>-389073.17767633585</v>
      </c>
      <c r="G264" s="6">
        <f t="shared" si="38"/>
        <v>-639393.69904382667</v>
      </c>
      <c r="H264" s="6">
        <f t="shared" si="33"/>
        <v>-4163.8335089885131</v>
      </c>
      <c r="I264" s="6">
        <f t="shared" si="34"/>
        <v>1110926.8223236641</v>
      </c>
      <c r="J264" s="6" t="str">
        <f>IF(B264&lt;&gt;"",IF(AND(Input!$H$54="Annual",MOD(B264,12)=0),Input!$J$54,IF(AND(Input!$H$54="1st Installment",B264=1),Input!$J$54,IF(Input!$H$54="Monthly",Input!$J$54,""))),"")</f>
        <v/>
      </c>
      <c r="K264" s="6">
        <f>IF(B264&lt;&gt;"",IF(AND(Input!$H$55="Annual",MOD(B264,12)=0),Input!$J$55,IF(AND(Input!$H$55="1st Installment",B264=1),Input!$J$55,IF(Input!$H$55="Monthly",Input!$J$55,""))),"")</f>
        <v>0</v>
      </c>
      <c r="L264" s="6" t="str">
        <f>IF(B264&lt;&gt;"",IF(AND(Input!$H$56="Annual",MOD(B264,12)=0),Input!$J$56,IF(AND(Input!$H$56="1st Installment",B264=1),Input!$J$56,IF(Input!$H$56="Monthly",Input!$J$56,""))),"")</f>
        <v/>
      </c>
      <c r="M264" s="6" t="str">
        <f>IF(B264&lt;&gt;"",IF(AND(Input!$H$57="Annual",MOD(B264,12)=0),Input!$J$57,IF(AND(Input!$H$57="1st Installment",B264=1),Input!$J$57,IF(Input!$H$57="Monthly",Input!$J$57,""))),"")</f>
        <v/>
      </c>
      <c r="N264" s="6" t="str">
        <f>IF(B264&lt;&gt;"",IF(AND(Input!$H$58="Annual",MOD(B264,12)=0),Input!$J$58,IF(AND(Input!$H$58="1st Installment",B264=1),Input!$J$58,IF(Input!$H$58="Monthly",Input!$J$58,IF(AND(Input!$H$58="End of the loan",B264=Input!$E$58),Input!$J$58,"")))),"")</f>
        <v/>
      </c>
      <c r="O264" s="6">
        <f t="shared" si="30"/>
        <v>0</v>
      </c>
      <c r="P264" s="4">
        <f t="shared" si="31"/>
        <v>4163.8335089885131</v>
      </c>
      <c r="T264" s="9">
        <f t="shared" si="32"/>
        <v>52072</v>
      </c>
      <c r="U264" s="5">
        <f t="shared" si="35"/>
        <v>4163.83</v>
      </c>
    </row>
    <row r="265" spans="2:21">
      <c r="B265" s="16">
        <f t="shared" si="36"/>
        <v>248</v>
      </c>
      <c r="C265" s="9">
        <f t="shared" si="37"/>
        <v>52103</v>
      </c>
      <c r="D265" s="6">
        <f>IFERROR((PPMT(Input!$E$55/12,B265,$C$6,Input!$E$54,-Input!$E$65,0))," ")</f>
        <v>-1988.2684819380047</v>
      </c>
      <c r="E265" s="6">
        <f>IFERROR(((IPMT(Input!$E$55/12,B265,$C$6,Input!$E$54,-Input!$E$65,0)))," ")</f>
        <v>-2175.5650270505089</v>
      </c>
      <c r="F265" s="6">
        <f t="shared" si="39"/>
        <v>-391061.44615827384</v>
      </c>
      <c r="G265" s="6">
        <f t="shared" si="38"/>
        <v>-641569.26407087722</v>
      </c>
      <c r="H265" s="6">
        <f t="shared" si="33"/>
        <v>-4163.8335089885131</v>
      </c>
      <c r="I265" s="6">
        <f t="shared" si="34"/>
        <v>1108938.5538417262</v>
      </c>
      <c r="J265" s="6" t="str">
        <f>IF(B265&lt;&gt;"",IF(AND(Input!$H$54="Annual",MOD(B265,12)=0),Input!$J$54,IF(AND(Input!$H$54="1st Installment",B265=1),Input!$J$54,IF(Input!$H$54="Monthly",Input!$J$54,""))),"")</f>
        <v/>
      </c>
      <c r="K265" s="6">
        <f>IF(B265&lt;&gt;"",IF(AND(Input!$H$55="Annual",MOD(B265,12)=0),Input!$J$55,IF(AND(Input!$H$55="1st Installment",B265=1),Input!$J$55,IF(Input!$H$55="Monthly",Input!$J$55,""))),"")</f>
        <v>0</v>
      </c>
      <c r="L265" s="6" t="str">
        <f>IF(B265&lt;&gt;"",IF(AND(Input!$H$56="Annual",MOD(B265,12)=0),Input!$J$56,IF(AND(Input!$H$56="1st Installment",B265=1),Input!$J$56,IF(Input!$H$56="Monthly",Input!$J$56,""))),"")</f>
        <v/>
      </c>
      <c r="M265" s="6" t="str">
        <f>IF(B265&lt;&gt;"",IF(AND(Input!$H$57="Annual",MOD(B265,12)=0),Input!$J$57,IF(AND(Input!$H$57="1st Installment",B265=1),Input!$J$57,IF(Input!$H$57="Monthly",Input!$J$57,""))),"")</f>
        <v/>
      </c>
      <c r="N265" s="6" t="str">
        <f>IF(B265&lt;&gt;"",IF(AND(Input!$H$58="Annual",MOD(B265,12)=0),Input!$J$58,IF(AND(Input!$H$58="1st Installment",B265=1),Input!$J$58,IF(Input!$H$58="Monthly",Input!$J$58,IF(AND(Input!$H$58="End of the loan",B265=Input!$E$58),Input!$J$58,"")))),"")</f>
        <v/>
      </c>
      <c r="O265" s="6">
        <f t="shared" si="30"/>
        <v>0</v>
      </c>
      <c r="P265" s="4">
        <f t="shared" si="31"/>
        <v>4163.8335089885131</v>
      </c>
      <c r="T265" s="9">
        <f t="shared" si="32"/>
        <v>52103</v>
      </c>
      <c r="U265" s="5">
        <f t="shared" si="35"/>
        <v>4163.83</v>
      </c>
    </row>
    <row r="266" spans="2:21">
      <c r="B266" s="16">
        <f t="shared" si="36"/>
        <v>249</v>
      </c>
      <c r="C266" s="9">
        <f t="shared" si="37"/>
        <v>52134</v>
      </c>
      <c r="D266" s="6">
        <f>IFERROR((PPMT(Input!$E$55/12,B266,$C$6,Input!$E$54,-Input!$E$65,0))," ")</f>
        <v>-1992.1621743817998</v>
      </c>
      <c r="E266" s="6">
        <f>IFERROR(((IPMT(Input!$E$55/12,B266,$C$6,Input!$E$54,-Input!$E$65,0)))," ")</f>
        <v>-2171.6713346067136</v>
      </c>
      <c r="F266" s="6">
        <f t="shared" si="39"/>
        <v>-393053.60833265563</v>
      </c>
      <c r="G266" s="6">
        <f t="shared" si="38"/>
        <v>-643740.93540548394</v>
      </c>
      <c r="H266" s="6">
        <f t="shared" si="33"/>
        <v>-4163.8335089885131</v>
      </c>
      <c r="I266" s="6">
        <f t="shared" si="34"/>
        <v>1106946.3916673444</v>
      </c>
      <c r="J266" s="6" t="str">
        <f>IF(B266&lt;&gt;"",IF(AND(Input!$H$54="Annual",MOD(B266,12)=0),Input!$J$54,IF(AND(Input!$H$54="1st Installment",B266=1),Input!$J$54,IF(Input!$H$54="Monthly",Input!$J$54,""))),"")</f>
        <v/>
      </c>
      <c r="K266" s="6">
        <f>IF(B266&lt;&gt;"",IF(AND(Input!$H$55="Annual",MOD(B266,12)=0),Input!$J$55,IF(AND(Input!$H$55="1st Installment",B266=1),Input!$J$55,IF(Input!$H$55="Monthly",Input!$J$55,""))),"")</f>
        <v>0</v>
      </c>
      <c r="L266" s="6" t="str">
        <f>IF(B266&lt;&gt;"",IF(AND(Input!$H$56="Annual",MOD(B266,12)=0),Input!$J$56,IF(AND(Input!$H$56="1st Installment",B266=1),Input!$J$56,IF(Input!$H$56="Monthly",Input!$J$56,""))),"")</f>
        <v/>
      </c>
      <c r="M266" s="6" t="str">
        <f>IF(B266&lt;&gt;"",IF(AND(Input!$H$57="Annual",MOD(B266,12)=0),Input!$J$57,IF(AND(Input!$H$57="1st Installment",B266=1),Input!$J$57,IF(Input!$H$57="Monthly",Input!$J$57,""))),"")</f>
        <v/>
      </c>
      <c r="N266" s="6" t="str">
        <f>IF(B266&lt;&gt;"",IF(AND(Input!$H$58="Annual",MOD(B266,12)=0),Input!$J$58,IF(AND(Input!$H$58="1st Installment",B266=1),Input!$J$58,IF(Input!$H$58="Monthly",Input!$J$58,IF(AND(Input!$H$58="End of the loan",B266=Input!$E$58),Input!$J$58,"")))),"")</f>
        <v/>
      </c>
      <c r="O266" s="6">
        <f t="shared" si="30"/>
        <v>0</v>
      </c>
      <c r="P266" s="4">
        <f t="shared" si="31"/>
        <v>4163.8335089885131</v>
      </c>
      <c r="T266" s="9">
        <f t="shared" si="32"/>
        <v>52134</v>
      </c>
      <c r="U266" s="5">
        <f t="shared" si="35"/>
        <v>4163.83</v>
      </c>
    </row>
    <row r="267" spans="2:21">
      <c r="B267" s="16">
        <f t="shared" si="36"/>
        <v>250</v>
      </c>
      <c r="C267" s="9">
        <f t="shared" si="37"/>
        <v>52164</v>
      </c>
      <c r="D267" s="6">
        <f>IFERROR((PPMT(Input!$E$55/12,B267,$C$6,Input!$E$54,-Input!$E$65,0))," ")</f>
        <v>-1996.0634919732975</v>
      </c>
      <c r="E267" s="6">
        <f>IFERROR(((IPMT(Input!$E$55/12,B267,$C$6,Input!$E$54,-Input!$E$65,0)))," ")</f>
        <v>-2167.7700170152161</v>
      </c>
      <c r="F267" s="6">
        <f t="shared" si="39"/>
        <v>-395049.67182462889</v>
      </c>
      <c r="G267" s="6">
        <f t="shared" si="38"/>
        <v>-645908.7054224991</v>
      </c>
      <c r="H267" s="6">
        <f t="shared" si="33"/>
        <v>-4163.8335089885131</v>
      </c>
      <c r="I267" s="6">
        <f t="shared" si="34"/>
        <v>1104950.328175371</v>
      </c>
      <c r="J267" s="6" t="str">
        <f>IF(B267&lt;&gt;"",IF(AND(Input!$H$54="Annual",MOD(B267,12)=0),Input!$J$54,IF(AND(Input!$H$54="1st Installment",B267=1),Input!$J$54,IF(Input!$H$54="Monthly",Input!$J$54,""))),"")</f>
        <v/>
      </c>
      <c r="K267" s="6">
        <f>IF(B267&lt;&gt;"",IF(AND(Input!$H$55="Annual",MOD(B267,12)=0),Input!$J$55,IF(AND(Input!$H$55="1st Installment",B267=1),Input!$J$55,IF(Input!$H$55="Monthly",Input!$J$55,""))),"")</f>
        <v>0</v>
      </c>
      <c r="L267" s="6" t="str">
        <f>IF(B267&lt;&gt;"",IF(AND(Input!$H$56="Annual",MOD(B267,12)=0),Input!$J$56,IF(AND(Input!$H$56="1st Installment",B267=1),Input!$J$56,IF(Input!$H$56="Monthly",Input!$J$56,""))),"")</f>
        <v/>
      </c>
      <c r="M267" s="6" t="str">
        <f>IF(B267&lt;&gt;"",IF(AND(Input!$H$57="Annual",MOD(B267,12)=0),Input!$J$57,IF(AND(Input!$H$57="1st Installment",B267=1),Input!$J$57,IF(Input!$H$57="Monthly",Input!$J$57,""))),"")</f>
        <v/>
      </c>
      <c r="N267" s="6" t="str">
        <f>IF(B267&lt;&gt;"",IF(AND(Input!$H$58="Annual",MOD(B267,12)=0),Input!$J$58,IF(AND(Input!$H$58="1st Installment",B267=1),Input!$J$58,IF(Input!$H$58="Monthly",Input!$J$58,IF(AND(Input!$H$58="End of the loan",B267=Input!$E$58),Input!$J$58,"")))),"")</f>
        <v/>
      </c>
      <c r="O267" s="6">
        <f t="shared" si="30"/>
        <v>0</v>
      </c>
      <c r="P267" s="4">
        <f t="shared" si="31"/>
        <v>4163.8335089885131</v>
      </c>
      <c r="T267" s="9">
        <f t="shared" si="32"/>
        <v>52164</v>
      </c>
      <c r="U267" s="5">
        <f t="shared" si="35"/>
        <v>4163.83</v>
      </c>
    </row>
    <row r="268" spans="2:21">
      <c r="B268" s="16">
        <f t="shared" si="36"/>
        <v>251</v>
      </c>
      <c r="C268" s="9">
        <f t="shared" si="37"/>
        <v>52195</v>
      </c>
      <c r="D268" s="6">
        <f>IFERROR((PPMT(Input!$E$55/12,B268,$C$6,Input!$E$54,-Input!$E$65,0))," ")</f>
        <v>-1999.9724496450788</v>
      </c>
      <c r="E268" s="6">
        <f>IFERROR(((IPMT(Input!$E$55/12,B268,$C$6,Input!$E$54,-Input!$E$65,0)))," ")</f>
        <v>-2163.8610593434346</v>
      </c>
      <c r="F268" s="6">
        <f t="shared" si="39"/>
        <v>-397049.64427427395</v>
      </c>
      <c r="G268" s="6">
        <f t="shared" si="38"/>
        <v>-648072.56648184254</v>
      </c>
      <c r="H268" s="6">
        <f t="shared" si="33"/>
        <v>-4163.8335089885131</v>
      </c>
      <c r="I268" s="6">
        <f t="shared" si="34"/>
        <v>1102950.3557257261</v>
      </c>
      <c r="J268" s="6" t="str">
        <f>IF(B268&lt;&gt;"",IF(AND(Input!$H$54="Annual",MOD(B268,12)=0),Input!$J$54,IF(AND(Input!$H$54="1st Installment",B268=1),Input!$J$54,IF(Input!$H$54="Monthly",Input!$J$54,""))),"")</f>
        <v/>
      </c>
      <c r="K268" s="6">
        <f>IF(B268&lt;&gt;"",IF(AND(Input!$H$55="Annual",MOD(B268,12)=0),Input!$J$55,IF(AND(Input!$H$55="1st Installment",B268=1),Input!$J$55,IF(Input!$H$55="Monthly",Input!$J$55,""))),"")</f>
        <v>0</v>
      </c>
      <c r="L268" s="6" t="str">
        <f>IF(B268&lt;&gt;"",IF(AND(Input!$H$56="Annual",MOD(B268,12)=0),Input!$J$56,IF(AND(Input!$H$56="1st Installment",B268=1),Input!$J$56,IF(Input!$H$56="Monthly",Input!$J$56,""))),"")</f>
        <v/>
      </c>
      <c r="M268" s="6" t="str">
        <f>IF(B268&lt;&gt;"",IF(AND(Input!$H$57="Annual",MOD(B268,12)=0),Input!$J$57,IF(AND(Input!$H$57="1st Installment",B268=1),Input!$J$57,IF(Input!$H$57="Monthly",Input!$J$57,""))),"")</f>
        <v/>
      </c>
      <c r="N268" s="6" t="str">
        <f>IF(B268&lt;&gt;"",IF(AND(Input!$H$58="Annual",MOD(B268,12)=0),Input!$J$58,IF(AND(Input!$H$58="1st Installment",B268=1),Input!$J$58,IF(Input!$H$58="Monthly",Input!$J$58,IF(AND(Input!$H$58="End of the loan",B268=Input!$E$58),Input!$J$58,"")))),"")</f>
        <v/>
      </c>
      <c r="O268" s="6">
        <f t="shared" si="30"/>
        <v>0</v>
      </c>
      <c r="P268" s="4">
        <f t="shared" si="31"/>
        <v>4163.8335089885131</v>
      </c>
      <c r="T268" s="9">
        <f t="shared" si="32"/>
        <v>52195</v>
      </c>
      <c r="U268" s="5">
        <f t="shared" si="35"/>
        <v>4163.83</v>
      </c>
    </row>
    <row r="269" spans="2:21">
      <c r="B269" s="16">
        <f t="shared" si="36"/>
        <v>252</v>
      </c>
      <c r="C269" s="9">
        <f t="shared" si="37"/>
        <v>52225</v>
      </c>
      <c r="D269" s="6">
        <f>IFERROR((PPMT(Input!$E$55/12,B269,$C$6,Input!$E$54,-Input!$E$65,0))," ")</f>
        <v>-2003.8890623589668</v>
      </c>
      <c r="E269" s="6">
        <f>IFERROR(((IPMT(Input!$E$55/12,B269,$C$6,Input!$E$54,-Input!$E$65,0)))," ")</f>
        <v>-2159.9444466295467</v>
      </c>
      <c r="F269" s="6">
        <f t="shared" si="39"/>
        <v>-399053.53333663289</v>
      </c>
      <c r="G269" s="6">
        <f t="shared" si="38"/>
        <v>-650232.51092847204</v>
      </c>
      <c r="H269" s="6">
        <f t="shared" si="33"/>
        <v>-4163.8335089885131</v>
      </c>
      <c r="I269" s="6">
        <f t="shared" si="34"/>
        <v>1100946.4666633671</v>
      </c>
      <c r="J269" s="6" t="str">
        <f>IF(B269&lt;&gt;"",IF(AND(Input!$H$54="Annual",MOD(B269,12)=0),Input!$J$54,IF(AND(Input!$H$54="1st Installment",B269=1),Input!$J$54,IF(Input!$H$54="Monthly",Input!$J$54,""))),"")</f>
        <v/>
      </c>
      <c r="K269" s="6">
        <f>IF(B269&lt;&gt;"",IF(AND(Input!$H$55="Annual",MOD(B269,12)=0),Input!$J$55,IF(AND(Input!$H$55="1st Installment",B269=1),Input!$J$55,IF(Input!$H$55="Monthly",Input!$J$55,""))),"")</f>
        <v>0</v>
      </c>
      <c r="L269" s="6" t="str">
        <f>IF(B269&lt;&gt;"",IF(AND(Input!$H$56="Annual",MOD(B269,12)=0),Input!$J$56,IF(AND(Input!$H$56="1st Installment",B269=1),Input!$J$56,IF(Input!$H$56="Monthly",Input!$J$56,""))),"")</f>
        <v/>
      </c>
      <c r="M269" s="6" t="str">
        <f>IF(B269&lt;&gt;"",IF(AND(Input!$H$57="Annual",MOD(B269,12)=0),Input!$J$57,IF(AND(Input!$H$57="1st Installment",B269=1),Input!$J$57,IF(Input!$H$57="Monthly",Input!$J$57,""))),"")</f>
        <v/>
      </c>
      <c r="N269" s="6" t="str">
        <f>IF(B269&lt;&gt;"",IF(AND(Input!$H$58="Annual",MOD(B269,12)=0),Input!$J$58,IF(AND(Input!$H$58="1st Installment",B269=1),Input!$J$58,IF(Input!$H$58="Monthly",Input!$J$58,IF(AND(Input!$H$58="End of the loan",B269=Input!$E$58),Input!$J$58,"")))),"")</f>
        <v/>
      </c>
      <c r="O269" s="6">
        <f t="shared" si="30"/>
        <v>0</v>
      </c>
      <c r="P269" s="4">
        <f t="shared" si="31"/>
        <v>4163.8335089885131</v>
      </c>
      <c r="T269" s="9">
        <f t="shared" si="32"/>
        <v>52225</v>
      </c>
      <c r="U269" s="5">
        <f t="shared" si="35"/>
        <v>4163.83</v>
      </c>
    </row>
    <row r="270" spans="2:21">
      <c r="B270" s="16">
        <f t="shared" si="36"/>
        <v>253</v>
      </c>
      <c r="C270" s="9">
        <f t="shared" si="37"/>
        <v>52256</v>
      </c>
      <c r="D270" s="6">
        <f>IFERROR((PPMT(Input!$E$55/12,B270,$C$6,Input!$E$54,-Input!$E$65,0))," ")</f>
        <v>-2007.8133451060869</v>
      </c>
      <c r="E270" s="6">
        <f>IFERROR(((IPMT(Input!$E$55/12,B270,$C$6,Input!$E$54,-Input!$E$65,0)))," ")</f>
        <v>-2156.0201638824269</v>
      </c>
      <c r="F270" s="6">
        <f t="shared" si="39"/>
        <v>-401061.34668173897</v>
      </c>
      <c r="G270" s="6">
        <f t="shared" si="38"/>
        <v>-652388.53109235445</v>
      </c>
      <c r="H270" s="6">
        <f t="shared" si="33"/>
        <v>-4163.833508988514</v>
      </c>
      <c r="I270" s="6">
        <f t="shared" si="34"/>
        <v>1098938.653318261</v>
      </c>
      <c r="J270" s="6" t="str">
        <f>IF(B270&lt;&gt;"",IF(AND(Input!$H$54="Annual",MOD(B270,12)=0),Input!$J$54,IF(AND(Input!$H$54="1st Installment",B270=1),Input!$J$54,IF(Input!$H$54="Monthly",Input!$J$54,""))),"")</f>
        <v/>
      </c>
      <c r="K270" s="6">
        <f>IF(B270&lt;&gt;"",IF(AND(Input!$H$55="Annual",MOD(B270,12)=0),Input!$J$55,IF(AND(Input!$H$55="1st Installment",B270=1),Input!$J$55,IF(Input!$H$55="Monthly",Input!$J$55,""))),"")</f>
        <v>0</v>
      </c>
      <c r="L270" s="6" t="str">
        <f>IF(B270&lt;&gt;"",IF(AND(Input!$H$56="Annual",MOD(B270,12)=0),Input!$J$56,IF(AND(Input!$H$56="1st Installment",B270=1),Input!$J$56,IF(Input!$H$56="Monthly",Input!$J$56,""))),"")</f>
        <v/>
      </c>
      <c r="M270" s="6" t="str">
        <f>IF(B270&lt;&gt;"",IF(AND(Input!$H$57="Annual",MOD(B270,12)=0),Input!$J$57,IF(AND(Input!$H$57="1st Installment",B270=1),Input!$J$57,IF(Input!$H$57="Monthly",Input!$J$57,""))),"")</f>
        <v/>
      </c>
      <c r="N270" s="6" t="str">
        <f>IF(B270&lt;&gt;"",IF(AND(Input!$H$58="Annual",MOD(B270,12)=0),Input!$J$58,IF(AND(Input!$H$58="1st Installment",B270=1),Input!$J$58,IF(Input!$H$58="Monthly",Input!$J$58,IF(AND(Input!$H$58="End of the loan",B270=Input!$E$58),Input!$J$58,"")))),"")</f>
        <v/>
      </c>
      <c r="O270" s="6">
        <f t="shared" ref="O270:O330" si="40">IF(B270&lt;&gt;"",SUM(J270:N270),"")</f>
        <v>0</v>
      </c>
      <c r="P270" s="4">
        <f t="shared" si="31"/>
        <v>4163.833508988514</v>
      </c>
      <c r="T270" s="9">
        <f t="shared" si="32"/>
        <v>52256</v>
      </c>
      <c r="U270" s="5">
        <f t="shared" si="35"/>
        <v>4163.83</v>
      </c>
    </row>
    <row r="271" spans="2:21">
      <c r="B271" s="16">
        <f t="shared" si="36"/>
        <v>254</v>
      </c>
      <c r="C271" s="9">
        <f t="shared" si="37"/>
        <v>52287</v>
      </c>
      <c r="D271" s="6">
        <f>IFERROR((PPMT(Input!$E$55/12,B271,$C$6,Input!$E$54,-Input!$E$65,0))," ")</f>
        <v>-2011.7453129069195</v>
      </c>
      <c r="E271" s="6">
        <f>IFERROR(((IPMT(Input!$E$55/12,B271,$C$6,Input!$E$54,-Input!$E$65,0)))," ")</f>
        <v>-2152.0881960815946</v>
      </c>
      <c r="F271" s="6">
        <f t="shared" si="39"/>
        <v>-403073.09199464589</v>
      </c>
      <c r="G271" s="6">
        <f t="shared" si="38"/>
        <v>-654540.61928843602</v>
      </c>
      <c r="H271" s="6">
        <f t="shared" si="33"/>
        <v>-4163.833508988514</v>
      </c>
      <c r="I271" s="6">
        <f t="shared" si="34"/>
        <v>1096926.908005354</v>
      </c>
      <c r="J271" s="6" t="str">
        <f>IF(B271&lt;&gt;"",IF(AND(Input!$H$54="Annual",MOD(B271,12)=0),Input!$J$54,IF(AND(Input!$H$54="1st Installment",B271=1),Input!$J$54,IF(Input!$H$54="Monthly",Input!$J$54,""))),"")</f>
        <v/>
      </c>
      <c r="K271" s="6">
        <f>IF(B271&lt;&gt;"",IF(AND(Input!$H$55="Annual",MOD(B271,12)=0),Input!$J$55,IF(AND(Input!$H$55="1st Installment",B271=1),Input!$J$55,IF(Input!$H$55="Monthly",Input!$J$55,""))),"")</f>
        <v>0</v>
      </c>
      <c r="L271" s="6" t="str">
        <f>IF(B271&lt;&gt;"",IF(AND(Input!$H$56="Annual",MOD(B271,12)=0),Input!$J$56,IF(AND(Input!$H$56="1st Installment",B271=1),Input!$J$56,IF(Input!$H$56="Monthly",Input!$J$56,""))),"")</f>
        <v/>
      </c>
      <c r="M271" s="6" t="str">
        <f>IF(B271&lt;&gt;"",IF(AND(Input!$H$57="Annual",MOD(B271,12)=0),Input!$J$57,IF(AND(Input!$H$57="1st Installment",B271=1),Input!$J$57,IF(Input!$H$57="Monthly",Input!$J$57,""))),"")</f>
        <v/>
      </c>
      <c r="N271" s="6" t="str">
        <f>IF(B271&lt;&gt;"",IF(AND(Input!$H$58="Annual",MOD(B271,12)=0),Input!$J$58,IF(AND(Input!$H$58="1st Installment",B271=1),Input!$J$58,IF(Input!$H$58="Monthly",Input!$J$58,IF(AND(Input!$H$58="End of the loan",B271=Input!$E$58),Input!$J$58,"")))),"")</f>
        <v/>
      </c>
      <c r="O271" s="6">
        <f t="shared" si="40"/>
        <v>0</v>
      </c>
      <c r="P271" s="4">
        <f t="shared" si="31"/>
        <v>4163.833508988514</v>
      </c>
      <c r="T271" s="9">
        <f t="shared" si="32"/>
        <v>52287</v>
      </c>
      <c r="U271" s="5">
        <f t="shared" si="35"/>
        <v>4163.83</v>
      </c>
    </row>
    <row r="272" spans="2:21">
      <c r="B272" s="16">
        <f t="shared" si="36"/>
        <v>255</v>
      </c>
      <c r="C272" s="9">
        <f t="shared" si="37"/>
        <v>52315</v>
      </c>
      <c r="D272" s="6">
        <f>IFERROR((PPMT(Input!$E$55/12,B272,$C$6,Input!$E$54,-Input!$E$65,0))," ")</f>
        <v>-2015.6849808113623</v>
      </c>
      <c r="E272" s="6">
        <f>IFERROR(((IPMT(Input!$E$55/12,B272,$C$6,Input!$E$54,-Input!$E$65,0)))," ")</f>
        <v>-2148.1485281771515</v>
      </c>
      <c r="F272" s="6">
        <f t="shared" si="39"/>
        <v>-405088.77697545727</v>
      </c>
      <c r="G272" s="6">
        <f t="shared" si="38"/>
        <v>-656688.7678166132</v>
      </c>
      <c r="H272" s="6">
        <f t="shared" si="33"/>
        <v>-4163.833508988514</v>
      </c>
      <c r="I272" s="6">
        <f t="shared" si="34"/>
        <v>1094911.2230245427</v>
      </c>
      <c r="J272" s="6" t="str">
        <f>IF(B272&lt;&gt;"",IF(AND(Input!$H$54="Annual",MOD(B272,12)=0),Input!$J$54,IF(AND(Input!$H$54="1st Installment",B272=1),Input!$J$54,IF(Input!$H$54="Monthly",Input!$J$54,""))),"")</f>
        <v/>
      </c>
      <c r="K272" s="6">
        <f>IF(B272&lt;&gt;"",IF(AND(Input!$H$55="Annual",MOD(B272,12)=0),Input!$J$55,IF(AND(Input!$H$55="1st Installment",B272=1),Input!$J$55,IF(Input!$H$55="Monthly",Input!$J$55,""))),"")</f>
        <v>0</v>
      </c>
      <c r="L272" s="6" t="str">
        <f>IF(B272&lt;&gt;"",IF(AND(Input!$H$56="Annual",MOD(B272,12)=0),Input!$J$56,IF(AND(Input!$H$56="1st Installment",B272=1),Input!$J$56,IF(Input!$H$56="Monthly",Input!$J$56,""))),"")</f>
        <v/>
      </c>
      <c r="M272" s="6" t="str">
        <f>IF(B272&lt;&gt;"",IF(AND(Input!$H$57="Annual",MOD(B272,12)=0),Input!$J$57,IF(AND(Input!$H$57="1st Installment",B272=1),Input!$J$57,IF(Input!$H$57="Monthly",Input!$J$57,""))),"")</f>
        <v/>
      </c>
      <c r="N272" s="6" t="str">
        <f>IF(B272&lt;&gt;"",IF(AND(Input!$H$58="Annual",MOD(B272,12)=0),Input!$J$58,IF(AND(Input!$H$58="1st Installment",B272=1),Input!$J$58,IF(Input!$H$58="Monthly",Input!$J$58,IF(AND(Input!$H$58="End of the loan",B272=Input!$E$58),Input!$J$58,"")))),"")</f>
        <v/>
      </c>
      <c r="O272" s="6">
        <f t="shared" si="40"/>
        <v>0</v>
      </c>
      <c r="P272" s="4">
        <f t="shared" si="31"/>
        <v>4163.833508988514</v>
      </c>
      <c r="T272" s="9">
        <f t="shared" si="32"/>
        <v>52315</v>
      </c>
      <c r="U272" s="5">
        <f t="shared" si="35"/>
        <v>4163.83</v>
      </c>
    </row>
    <row r="273" spans="2:21">
      <c r="B273" s="16">
        <f t="shared" si="36"/>
        <v>256</v>
      </c>
      <c r="C273" s="9">
        <f t="shared" si="37"/>
        <v>52346</v>
      </c>
      <c r="D273" s="6">
        <f>IFERROR((PPMT(Input!$E$55/12,B273,$C$6,Input!$E$54,-Input!$E$65,0))," ")</f>
        <v>-2019.6323638987844</v>
      </c>
      <c r="E273" s="6">
        <f>IFERROR(((IPMT(Input!$E$55/12,B273,$C$6,Input!$E$54,-Input!$E$65,0)))," ")</f>
        <v>-2144.2011450897294</v>
      </c>
      <c r="F273" s="6">
        <f t="shared" si="39"/>
        <v>-407108.40933935606</v>
      </c>
      <c r="G273" s="6">
        <f t="shared" si="38"/>
        <v>-658832.96896170289</v>
      </c>
      <c r="H273" s="6">
        <f t="shared" si="33"/>
        <v>-4163.833508988514</v>
      </c>
      <c r="I273" s="6">
        <f t="shared" si="34"/>
        <v>1092891.590660644</v>
      </c>
      <c r="J273" s="6" t="str">
        <f>IF(B273&lt;&gt;"",IF(AND(Input!$H$54="Annual",MOD(B273,12)=0),Input!$J$54,IF(AND(Input!$H$54="1st Installment",B273=1),Input!$J$54,IF(Input!$H$54="Monthly",Input!$J$54,""))),"")</f>
        <v/>
      </c>
      <c r="K273" s="6">
        <f>IF(B273&lt;&gt;"",IF(AND(Input!$H$55="Annual",MOD(B273,12)=0),Input!$J$55,IF(AND(Input!$H$55="1st Installment",B273=1),Input!$J$55,IF(Input!$H$55="Monthly",Input!$J$55,""))),"")</f>
        <v>0</v>
      </c>
      <c r="L273" s="6" t="str">
        <f>IF(B273&lt;&gt;"",IF(AND(Input!$H$56="Annual",MOD(B273,12)=0),Input!$J$56,IF(AND(Input!$H$56="1st Installment",B273=1),Input!$J$56,IF(Input!$H$56="Monthly",Input!$J$56,""))),"")</f>
        <v/>
      </c>
      <c r="M273" s="6" t="str">
        <f>IF(B273&lt;&gt;"",IF(AND(Input!$H$57="Annual",MOD(B273,12)=0),Input!$J$57,IF(AND(Input!$H$57="1st Installment",B273=1),Input!$J$57,IF(Input!$H$57="Monthly",Input!$J$57,""))),"")</f>
        <v/>
      </c>
      <c r="N273" s="6" t="str">
        <f>IF(B273&lt;&gt;"",IF(AND(Input!$H$58="Annual",MOD(B273,12)=0),Input!$J$58,IF(AND(Input!$H$58="1st Installment",B273=1),Input!$J$58,IF(Input!$H$58="Monthly",Input!$J$58,IF(AND(Input!$H$58="End of the loan",B273=Input!$E$58),Input!$J$58,"")))),"")</f>
        <v/>
      </c>
      <c r="O273" s="6">
        <f t="shared" si="40"/>
        <v>0</v>
      </c>
      <c r="P273" s="4">
        <f t="shared" ref="P273:P336" si="41">IF(B273&lt;&gt;"",(-H273+O273),"")</f>
        <v>4163.833508988514</v>
      </c>
      <c r="T273" s="9">
        <f t="shared" si="32"/>
        <v>52346</v>
      </c>
      <c r="U273" s="5">
        <f t="shared" si="35"/>
        <v>4163.83</v>
      </c>
    </row>
    <row r="274" spans="2:21">
      <c r="B274" s="16">
        <f t="shared" si="36"/>
        <v>257</v>
      </c>
      <c r="C274" s="9">
        <f t="shared" si="37"/>
        <v>52376</v>
      </c>
      <c r="D274" s="6">
        <f>IFERROR((PPMT(Input!$E$55/12,B274,$C$6,Input!$E$54,-Input!$E$65,0))," ")</f>
        <v>-2023.587477278086</v>
      </c>
      <c r="E274" s="6">
        <f>IFERROR(((IPMT(Input!$E$55/12,B274,$C$6,Input!$E$54,-Input!$E$65,0)))," ")</f>
        <v>-2140.2460317104274</v>
      </c>
      <c r="F274" s="6">
        <f t="shared" si="39"/>
        <v>-409131.99681663414</v>
      </c>
      <c r="G274" s="6">
        <f t="shared" si="38"/>
        <v>-660973.2149934133</v>
      </c>
      <c r="H274" s="6">
        <f t="shared" si="33"/>
        <v>-4163.8335089885131</v>
      </c>
      <c r="I274" s="6">
        <f t="shared" si="34"/>
        <v>1090868.0031833658</v>
      </c>
      <c r="J274" s="6" t="str">
        <f>IF(B274&lt;&gt;"",IF(AND(Input!$H$54="Annual",MOD(B274,12)=0),Input!$J$54,IF(AND(Input!$H$54="1st Installment",B274=1),Input!$J$54,IF(Input!$H$54="Monthly",Input!$J$54,""))),"")</f>
        <v/>
      </c>
      <c r="K274" s="6">
        <f>IF(B274&lt;&gt;"",IF(AND(Input!$H$55="Annual",MOD(B274,12)=0),Input!$J$55,IF(AND(Input!$H$55="1st Installment",B274=1),Input!$J$55,IF(Input!$H$55="Monthly",Input!$J$55,""))),"")</f>
        <v>0</v>
      </c>
      <c r="L274" s="6" t="str">
        <f>IF(B274&lt;&gt;"",IF(AND(Input!$H$56="Annual",MOD(B274,12)=0),Input!$J$56,IF(AND(Input!$H$56="1st Installment",B274=1),Input!$J$56,IF(Input!$H$56="Monthly",Input!$J$56,""))),"")</f>
        <v/>
      </c>
      <c r="M274" s="6" t="str">
        <f>IF(B274&lt;&gt;"",IF(AND(Input!$H$57="Annual",MOD(B274,12)=0),Input!$J$57,IF(AND(Input!$H$57="1st Installment",B274=1),Input!$J$57,IF(Input!$H$57="Monthly",Input!$J$57,""))),"")</f>
        <v/>
      </c>
      <c r="N274" s="6" t="str">
        <f>IF(B274&lt;&gt;"",IF(AND(Input!$H$58="Annual",MOD(B274,12)=0),Input!$J$58,IF(AND(Input!$H$58="1st Installment",B274=1),Input!$J$58,IF(Input!$H$58="Monthly",Input!$J$58,IF(AND(Input!$H$58="End of the loan",B274=Input!$E$58),Input!$J$58,"")))),"")</f>
        <v/>
      </c>
      <c r="O274" s="6">
        <f t="shared" si="40"/>
        <v>0</v>
      </c>
      <c r="P274" s="4">
        <f t="shared" si="41"/>
        <v>4163.8335089885131</v>
      </c>
      <c r="T274" s="9">
        <f t="shared" ref="T274:T337" si="42">C274</f>
        <v>52376</v>
      </c>
      <c r="U274" s="5">
        <f t="shared" si="35"/>
        <v>4163.83</v>
      </c>
    </row>
    <row r="275" spans="2:21">
      <c r="B275" s="16">
        <f t="shared" si="36"/>
        <v>258</v>
      </c>
      <c r="C275" s="9">
        <f t="shared" si="37"/>
        <v>52407</v>
      </c>
      <c r="D275" s="6">
        <f>IFERROR((PPMT(Input!$E$55/12,B275,$C$6,Input!$E$54,-Input!$E$65,0))," ")</f>
        <v>-2027.5503360877558</v>
      </c>
      <c r="E275" s="6">
        <f>IFERROR(((IPMT(Input!$E$55/12,B275,$C$6,Input!$E$54,-Input!$E$65,0)))," ")</f>
        <v>-2136.283172900758</v>
      </c>
      <c r="F275" s="6">
        <f t="shared" si="39"/>
        <v>-411159.54715272191</v>
      </c>
      <c r="G275" s="6">
        <f t="shared" si="38"/>
        <v>-663109.49816631409</v>
      </c>
      <c r="H275" s="6">
        <f t="shared" ref="H275:H338" si="43">+IF(B275=$C$6+1,-$C$13,IFERROR(D275+E275,""))</f>
        <v>-4163.833508988514</v>
      </c>
      <c r="I275" s="6">
        <f t="shared" ref="I275:I338" si="44">+IFERROR($C$8+F275,"")</f>
        <v>1088840.4528472782</v>
      </c>
      <c r="J275" s="6" t="str">
        <f>IF(B275&lt;&gt;"",IF(AND(Input!$H$54="Annual",MOD(B275,12)=0),Input!$J$54,IF(AND(Input!$H$54="1st Installment",B275=1),Input!$J$54,IF(Input!$H$54="Monthly",Input!$J$54,""))),"")</f>
        <v/>
      </c>
      <c r="K275" s="6">
        <f>IF(B275&lt;&gt;"",IF(AND(Input!$H$55="Annual",MOD(B275,12)=0),Input!$J$55,IF(AND(Input!$H$55="1st Installment",B275=1),Input!$J$55,IF(Input!$H$55="Monthly",Input!$J$55,""))),"")</f>
        <v>0</v>
      </c>
      <c r="L275" s="6" t="str">
        <f>IF(B275&lt;&gt;"",IF(AND(Input!$H$56="Annual",MOD(B275,12)=0),Input!$J$56,IF(AND(Input!$H$56="1st Installment",B275=1),Input!$J$56,IF(Input!$H$56="Monthly",Input!$J$56,""))),"")</f>
        <v/>
      </c>
      <c r="M275" s="6" t="str">
        <f>IF(B275&lt;&gt;"",IF(AND(Input!$H$57="Annual",MOD(B275,12)=0),Input!$J$57,IF(AND(Input!$H$57="1st Installment",B275=1),Input!$J$57,IF(Input!$H$57="Monthly",Input!$J$57,""))),"")</f>
        <v/>
      </c>
      <c r="N275" s="6" t="str">
        <f>IF(B275&lt;&gt;"",IF(AND(Input!$H$58="Annual",MOD(B275,12)=0),Input!$J$58,IF(AND(Input!$H$58="1st Installment",B275=1),Input!$J$58,IF(Input!$H$58="Monthly",Input!$J$58,IF(AND(Input!$H$58="End of the loan",B275=Input!$E$58),Input!$J$58,"")))),"")</f>
        <v/>
      </c>
      <c r="O275" s="6">
        <f t="shared" si="40"/>
        <v>0</v>
      </c>
      <c r="P275" s="4">
        <f t="shared" si="41"/>
        <v>4163.833508988514</v>
      </c>
      <c r="T275" s="9">
        <f t="shared" si="42"/>
        <v>52407</v>
      </c>
      <c r="U275" s="5">
        <f t="shared" ref="U275:U338" si="45">IFERROR(ROUND(_xlfn.IFNA(VLOOKUP(T275,$C$18:$P$385,14,0),0),2)," ")</f>
        <v>4163.83</v>
      </c>
    </row>
    <row r="276" spans="2:21">
      <c r="B276" s="16">
        <f t="shared" ref="B276:B339" si="46">IF(B275="","",IF((B275+1)&lt;=$C$6+1,B275+1,""))</f>
        <v>259</v>
      </c>
      <c r="C276" s="9">
        <f t="shared" ref="C276:C339" si="47">IF(B276="","",EDATE(C275,1))</f>
        <v>52437</v>
      </c>
      <c r="D276" s="6">
        <f>IFERROR((PPMT(Input!$E$55/12,B276,$C$6,Input!$E$54,-Input!$E$65,0))," ")</f>
        <v>-2031.5209554959276</v>
      </c>
      <c r="E276" s="6">
        <f>IFERROR(((IPMT(Input!$E$55/12,B276,$C$6,Input!$E$54,-Input!$E$65,0)))," ")</f>
        <v>-2132.3125534925857</v>
      </c>
      <c r="F276" s="6">
        <f t="shared" si="39"/>
        <v>-413191.06810821785</v>
      </c>
      <c r="G276" s="6">
        <f t="shared" ref="G276:G339" si="48">IF(B276&lt;=$C$6,G275+E276,"")</f>
        <v>-665241.8107198067</v>
      </c>
      <c r="H276" s="6">
        <f t="shared" si="43"/>
        <v>-4163.8335089885131</v>
      </c>
      <c r="I276" s="6">
        <f t="shared" si="44"/>
        <v>1086808.9318917822</v>
      </c>
      <c r="J276" s="6" t="str">
        <f>IF(B276&lt;&gt;"",IF(AND(Input!$H$54="Annual",MOD(B276,12)=0),Input!$J$54,IF(AND(Input!$H$54="1st Installment",B276=1),Input!$J$54,IF(Input!$H$54="Monthly",Input!$J$54,""))),"")</f>
        <v/>
      </c>
      <c r="K276" s="6">
        <f>IF(B276&lt;&gt;"",IF(AND(Input!$H$55="Annual",MOD(B276,12)=0),Input!$J$55,IF(AND(Input!$H$55="1st Installment",B276=1),Input!$J$55,IF(Input!$H$55="Monthly",Input!$J$55,""))),"")</f>
        <v>0</v>
      </c>
      <c r="L276" s="6" t="str">
        <f>IF(B276&lt;&gt;"",IF(AND(Input!$H$56="Annual",MOD(B276,12)=0),Input!$J$56,IF(AND(Input!$H$56="1st Installment",B276=1),Input!$J$56,IF(Input!$H$56="Monthly",Input!$J$56,""))),"")</f>
        <v/>
      </c>
      <c r="M276" s="6" t="str">
        <f>IF(B276&lt;&gt;"",IF(AND(Input!$H$57="Annual",MOD(B276,12)=0),Input!$J$57,IF(AND(Input!$H$57="1st Installment",B276=1),Input!$J$57,IF(Input!$H$57="Monthly",Input!$J$57,""))),"")</f>
        <v/>
      </c>
      <c r="N276" s="6" t="str">
        <f>IF(B276&lt;&gt;"",IF(AND(Input!$H$58="Annual",MOD(B276,12)=0),Input!$J$58,IF(AND(Input!$H$58="1st Installment",B276=1),Input!$J$58,IF(Input!$H$58="Monthly",Input!$J$58,IF(AND(Input!$H$58="End of the loan",B276=Input!$E$58),Input!$J$58,"")))),"")</f>
        <v/>
      </c>
      <c r="O276" s="6">
        <f t="shared" si="40"/>
        <v>0</v>
      </c>
      <c r="P276" s="4">
        <f t="shared" si="41"/>
        <v>4163.8335089885131</v>
      </c>
      <c r="T276" s="9">
        <f t="shared" si="42"/>
        <v>52437</v>
      </c>
      <c r="U276" s="5">
        <f t="shared" si="45"/>
        <v>4163.83</v>
      </c>
    </row>
    <row r="277" spans="2:21">
      <c r="B277" s="16">
        <f t="shared" si="46"/>
        <v>260</v>
      </c>
      <c r="C277" s="9">
        <f t="shared" si="47"/>
        <v>52468</v>
      </c>
      <c r="D277" s="6">
        <f>IFERROR((PPMT(Input!$E$55/12,B277,$C$6,Input!$E$54,-Input!$E$65,0))," ")</f>
        <v>-2035.4993507004403</v>
      </c>
      <c r="E277" s="6">
        <f>IFERROR(((IPMT(Input!$E$55/12,B277,$C$6,Input!$E$54,-Input!$E$65,0)))," ")</f>
        <v>-2128.3341582880735</v>
      </c>
      <c r="F277" s="6">
        <f t="shared" ref="F277:F340" si="49">IF(B277&lt;=$C$6,F276+D277,"")</f>
        <v>-415226.56745891832</v>
      </c>
      <c r="G277" s="6">
        <f t="shared" si="48"/>
        <v>-667370.14487809478</v>
      </c>
      <c r="H277" s="6">
        <f t="shared" si="43"/>
        <v>-4163.833508988514</v>
      </c>
      <c r="I277" s="6">
        <f t="shared" si="44"/>
        <v>1084773.4325410817</v>
      </c>
      <c r="J277" s="6" t="str">
        <f>IF(B277&lt;&gt;"",IF(AND(Input!$H$54="Annual",MOD(B277,12)=0),Input!$J$54,IF(AND(Input!$H$54="1st Installment",B277=1),Input!$J$54,IF(Input!$H$54="Monthly",Input!$J$54,""))),"")</f>
        <v/>
      </c>
      <c r="K277" s="6">
        <f>IF(B277&lt;&gt;"",IF(AND(Input!$H$55="Annual",MOD(B277,12)=0),Input!$J$55,IF(AND(Input!$H$55="1st Installment",B277=1),Input!$J$55,IF(Input!$H$55="Monthly",Input!$J$55,""))),"")</f>
        <v>0</v>
      </c>
      <c r="L277" s="6" t="str">
        <f>IF(B277&lt;&gt;"",IF(AND(Input!$H$56="Annual",MOD(B277,12)=0),Input!$J$56,IF(AND(Input!$H$56="1st Installment",B277=1),Input!$J$56,IF(Input!$H$56="Monthly",Input!$J$56,""))),"")</f>
        <v/>
      </c>
      <c r="M277" s="6" t="str">
        <f>IF(B277&lt;&gt;"",IF(AND(Input!$H$57="Annual",MOD(B277,12)=0),Input!$J$57,IF(AND(Input!$H$57="1st Installment",B277=1),Input!$J$57,IF(Input!$H$57="Monthly",Input!$J$57,""))),"")</f>
        <v/>
      </c>
      <c r="N277" s="6" t="str">
        <f>IF(B277&lt;&gt;"",IF(AND(Input!$H$58="Annual",MOD(B277,12)=0),Input!$J$58,IF(AND(Input!$H$58="1st Installment",B277=1),Input!$J$58,IF(Input!$H$58="Monthly",Input!$J$58,IF(AND(Input!$H$58="End of the loan",B277=Input!$E$58),Input!$J$58,"")))),"")</f>
        <v/>
      </c>
      <c r="O277" s="6">
        <f t="shared" si="40"/>
        <v>0</v>
      </c>
      <c r="P277" s="4">
        <f t="shared" si="41"/>
        <v>4163.833508988514</v>
      </c>
      <c r="T277" s="9">
        <f t="shared" si="42"/>
        <v>52468</v>
      </c>
      <c r="U277" s="5">
        <f t="shared" si="45"/>
        <v>4163.83</v>
      </c>
    </row>
    <row r="278" spans="2:21">
      <c r="B278" s="16">
        <f t="shared" si="46"/>
        <v>261</v>
      </c>
      <c r="C278" s="9">
        <f t="shared" si="47"/>
        <v>52499</v>
      </c>
      <c r="D278" s="6">
        <f>IFERROR((PPMT(Input!$E$55/12,B278,$C$6,Input!$E$54,-Input!$E$65,0))," ")</f>
        <v>-2039.4855369288955</v>
      </c>
      <c r="E278" s="6">
        <f>IFERROR(((IPMT(Input!$E$55/12,B278,$C$6,Input!$E$54,-Input!$E$65,0)))," ")</f>
        <v>-2124.3479720596183</v>
      </c>
      <c r="F278" s="6">
        <f t="shared" si="49"/>
        <v>-417266.05299584719</v>
      </c>
      <c r="G278" s="6">
        <f t="shared" si="48"/>
        <v>-669494.49285015441</v>
      </c>
      <c r="H278" s="6">
        <f t="shared" si="43"/>
        <v>-4163.833508988514</v>
      </c>
      <c r="I278" s="6">
        <f t="shared" si="44"/>
        <v>1082733.9470041529</v>
      </c>
      <c r="J278" s="6" t="str">
        <f>IF(B278&lt;&gt;"",IF(AND(Input!$H$54="Annual",MOD(B278,12)=0),Input!$J$54,IF(AND(Input!$H$54="1st Installment",B278=1),Input!$J$54,IF(Input!$H$54="Monthly",Input!$J$54,""))),"")</f>
        <v/>
      </c>
      <c r="K278" s="6">
        <f>IF(B278&lt;&gt;"",IF(AND(Input!$H$55="Annual",MOD(B278,12)=0),Input!$J$55,IF(AND(Input!$H$55="1st Installment",B278=1),Input!$J$55,IF(Input!$H$55="Monthly",Input!$J$55,""))),"")</f>
        <v>0</v>
      </c>
      <c r="L278" s="6" t="str">
        <f>IF(B278&lt;&gt;"",IF(AND(Input!$H$56="Annual",MOD(B278,12)=0),Input!$J$56,IF(AND(Input!$H$56="1st Installment",B278=1),Input!$J$56,IF(Input!$H$56="Monthly",Input!$J$56,""))),"")</f>
        <v/>
      </c>
      <c r="M278" s="6" t="str">
        <f>IF(B278&lt;&gt;"",IF(AND(Input!$H$57="Annual",MOD(B278,12)=0),Input!$J$57,IF(AND(Input!$H$57="1st Installment",B278=1),Input!$J$57,IF(Input!$H$57="Monthly",Input!$J$57,""))),"")</f>
        <v/>
      </c>
      <c r="N278" s="6" t="str">
        <f>IF(B278&lt;&gt;"",IF(AND(Input!$H$58="Annual",MOD(B278,12)=0),Input!$J$58,IF(AND(Input!$H$58="1st Installment",B278=1),Input!$J$58,IF(Input!$H$58="Monthly",Input!$J$58,IF(AND(Input!$H$58="End of the loan",B278=Input!$E$58),Input!$J$58,"")))),"")</f>
        <v/>
      </c>
      <c r="O278" s="6">
        <f t="shared" si="40"/>
        <v>0</v>
      </c>
      <c r="P278" s="4">
        <f t="shared" si="41"/>
        <v>4163.833508988514</v>
      </c>
      <c r="T278" s="9">
        <f t="shared" si="42"/>
        <v>52499</v>
      </c>
      <c r="U278" s="5">
        <f t="shared" si="45"/>
        <v>4163.83</v>
      </c>
    </row>
    <row r="279" spans="2:21">
      <c r="B279" s="16">
        <f t="shared" si="46"/>
        <v>262</v>
      </c>
      <c r="C279" s="9">
        <f t="shared" si="47"/>
        <v>52529</v>
      </c>
      <c r="D279" s="6">
        <f>IFERROR((PPMT(Input!$E$55/12,B279,$C$6,Input!$E$54,-Input!$E$65,0))," ")</f>
        <v>-2043.4795294387145</v>
      </c>
      <c r="E279" s="6">
        <f>IFERROR(((IPMT(Input!$E$55/12,B279,$C$6,Input!$E$54,-Input!$E$65,0)))," ")</f>
        <v>-2120.3539795497991</v>
      </c>
      <c r="F279" s="6">
        <f t="shared" si="49"/>
        <v>-419309.5325252859</v>
      </c>
      <c r="G279" s="6">
        <f t="shared" si="48"/>
        <v>-671614.84682970424</v>
      </c>
      <c r="H279" s="6">
        <f t="shared" si="43"/>
        <v>-4163.8335089885131</v>
      </c>
      <c r="I279" s="6">
        <f t="shared" si="44"/>
        <v>1080690.4674747142</v>
      </c>
      <c r="J279" s="6" t="str">
        <f>IF(B279&lt;&gt;"",IF(AND(Input!$H$54="Annual",MOD(B279,12)=0),Input!$J$54,IF(AND(Input!$H$54="1st Installment",B279=1),Input!$J$54,IF(Input!$H$54="Monthly",Input!$J$54,""))),"")</f>
        <v/>
      </c>
      <c r="K279" s="6">
        <f>IF(B279&lt;&gt;"",IF(AND(Input!$H$55="Annual",MOD(B279,12)=0),Input!$J$55,IF(AND(Input!$H$55="1st Installment",B279=1),Input!$J$55,IF(Input!$H$55="Monthly",Input!$J$55,""))),"")</f>
        <v>0</v>
      </c>
      <c r="L279" s="6" t="str">
        <f>IF(B279&lt;&gt;"",IF(AND(Input!$H$56="Annual",MOD(B279,12)=0),Input!$J$56,IF(AND(Input!$H$56="1st Installment",B279=1),Input!$J$56,IF(Input!$H$56="Monthly",Input!$J$56,""))),"")</f>
        <v/>
      </c>
      <c r="M279" s="6" t="str">
        <f>IF(B279&lt;&gt;"",IF(AND(Input!$H$57="Annual",MOD(B279,12)=0),Input!$J$57,IF(AND(Input!$H$57="1st Installment",B279=1),Input!$J$57,IF(Input!$H$57="Monthly",Input!$J$57,""))),"")</f>
        <v/>
      </c>
      <c r="N279" s="6" t="str">
        <f>IF(B279&lt;&gt;"",IF(AND(Input!$H$58="Annual",MOD(B279,12)=0),Input!$J$58,IF(AND(Input!$H$58="1st Installment",B279=1),Input!$J$58,IF(Input!$H$58="Monthly",Input!$J$58,IF(AND(Input!$H$58="End of the loan",B279=Input!$E$58),Input!$J$58,"")))),"")</f>
        <v/>
      </c>
      <c r="O279" s="6">
        <f t="shared" si="40"/>
        <v>0</v>
      </c>
      <c r="P279" s="4">
        <f t="shared" si="41"/>
        <v>4163.8335089885131</v>
      </c>
      <c r="T279" s="9">
        <f t="shared" si="42"/>
        <v>52529</v>
      </c>
      <c r="U279" s="5">
        <f t="shared" si="45"/>
        <v>4163.83</v>
      </c>
    </row>
    <row r="280" spans="2:21">
      <c r="B280" s="16">
        <f t="shared" si="46"/>
        <v>263</v>
      </c>
      <c r="C280" s="9">
        <f t="shared" si="47"/>
        <v>52560</v>
      </c>
      <c r="D280" s="6">
        <f>IFERROR((PPMT(Input!$E$55/12,B280,$C$6,Input!$E$54,-Input!$E$65,0))," ")</f>
        <v>-2047.4813435171989</v>
      </c>
      <c r="E280" s="6">
        <f>IFERROR(((IPMT(Input!$E$55/12,B280,$C$6,Input!$E$54,-Input!$E$65,0)))," ")</f>
        <v>-2116.3521654713149</v>
      </c>
      <c r="F280" s="6">
        <f t="shared" si="49"/>
        <v>-421357.0138688031</v>
      </c>
      <c r="G280" s="6">
        <f t="shared" si="48"/>
        <v>-673731.19899517554</v>
      </c>
      <c r="H280" s="6">
        <f t="shared" si="43"/>
        <v>-4163.833508988514</v>
      </c>
      <c r="I280" s="6">
        <f t="shared" si="44"/>
        <v>1078642.9861311968</v>
      </c>
      <c r="J280" s="6" t="str">
        <f>IF(B280&lt;&gt;"",IF(AND(Input!$H$54="Annual",MOD(B280,12)=0),Input!$J$54,IF(AND(Input!$H$54="1st Installment",B280=1),Input!$J$54,IF(Input!$H$54="Monthly",Input!$J$54,""))),"")</f>
        <v/>
      </c>
      <c r="K280" s="6">
        <f>IF(B280&lt;&gt;"",IF(AND(Input!$H$55="Annual",MOD(B280,12)=0),Input!$J$55,IF(AND(Input!$H$55="1st Installment",B280=1),Input!$J$55,IF(Input!$H$55="Monthly",Input!$J$55,""))),"")</f>
        <v>0</v>
      </c>
      <c r="L280" s="6" t="str">
        <f>IF(B280&lt;&gt;"",IF(AND(Input!$H$56="Annual",MOD(B280,12)=0),Input!$J$56,IF(AND(Input!$H$56="1st Installment",B280=1),Input!$J$56,IF(Input!$H$56="Monthly",Input!$J$56,""))),"")</f>
        <v/>
      </c>
      <c r="M280" s="6" t="str">
        <f>IF(B280&lt;&gt;"",IF(AND(Input!$H$57="Annual",MOD(B280,12)=0),Input!$J$57,IF(AND(Input!$H$57="1st Installment",B280=1),Input!$J$57,IF(Input!$H$57="Monthly",Input!$J$57,""))),"")</f>
        <v/>
      </c>
      <c r="N280" s="6" t="str">
        <f>IF(B280&lt;&gt;"",IF(AND(Input!$H$58="Annual",MOD(B280,12)=0),Input!$J$58,IF(AND(Input!$H$58="1st Installment",B280=1),Input!$J$58,IF(Input!$H$58="Monthly",Input!$J$58,IF(AND(Input!$H$58="End of the loan",B280=Input!$E$58),Input!$J$58,"")))),"")</f>
        <v/>
      </c>
      <c r="O280" s="6">
        <f t="shared" si="40"/>
        <v>0</v>
      </c>
      <c r="P280" s="4">
        <f t="shared" si="41"/>
        <v>4163.833508988514</v>
      </c>
      <c r="T280" s="9">
        <f t="shared" si="42"/>
        <v>52560</v>
      </c>
      <c r="U280" s="5">
        <f t="shared" si="45"/>
        <v>4163.83</v>
      </c>
    </row>
    <row r="281" spans="2:21">
      <c r="B281" s="16">
        <f t="shared" si="46"/>
        <v>264</v>
      </c>
      <c r="C281" s="9">
        <f t="shared" si="47"/>
        <v>52590</v>
      </c>
      <c r="D281" s="6">
        <f>IFERROR((PPMT(Input!$E$55/12,B281,$C$6,Input!$E$54,-Input!$E$65,0))," ")</f>
        <v>-2051.4909944815863</v>
      </c>
      <c r="E281" s="6">
        <f>IFERROR(((IPMT(Input!$E$55/12,B281,$C$6,Input!$E$54,-Input!$E$65,0)))," ")</f>
        <v>-2112.3425145069268</v>
      </c>
      <c r="F281" s="6">
        <f t="shared" si="49"/>
        <v>-423408.5048632847</v>
      </c>
      <c r="G281" s="6">
        <f t="shared" si="48"/>
        <v>-675843.54150968243</v>
      </c>
      <c r="H281" s="6">
        <f t="shared" si="43"/>
        <v>-4163.8335089885131</v>
      </c>
      <c r="I281" s="6">
        <f t="shared" si="44"/>
        <v>1076591.4951367152</v>
      </c>
      <c r="J281" s="6" t="str">
        <f>IF(B281&lt;&gt;"",IF(AND(Input!$H$54="Annual",MOD(B281,12)=0),Input!$J$54,IF(AND(Input!$H$54="1st Installment",B281=1),Input!$J$54,IF(Input!$H$54="Monthly",Input!$J$54,""))),"")</f>
        <v/>
      </c>
      <c r="K281" s="6">
        <f>IF(B281&lt;&gt;"",IF(AND(Input!$H$55="Annual",MOD(B281,12)=0),Input!$J$55,IF(AND(Input!$H$55="1st Installment",B281=1),Input!$J$55,IF(Input!$H$55="Monthly",Input!$J$55,""))),"")</f>
        <v>0</v>
      </c>
      <c r="L281" s="6" t="str">
        <f>IF(B281&lt;&gt;"",IF(AND(Input!$H$56="Annual",MOD(B281,12)=0),Input!$J$56,IF(AND(Input!$H$56="1st Installment",B281=1),Input!$J$56,IF(Input!$H$56="Monthly",Input!$J$56,""))),"")</f>
        <v/>
      </c>
      <c r="M281" s="6" t="str">
        <f>IF(B281&lt;&gt;"",IF(AND(Input!$H$57="Annual",MOD(B281,12)=0),Input!$J$57,IF(AND(Input!$H$57="1st Installment",B281=1),Input!$J$57,IF(Input!$H$57="Monthly",Input!$J$57,""))),"")</f>
        <v/>
      </c>
      <c r="N281" s="6" t="str">
        <f>IF(B281&lt;&gt;"",IF(AND(Input!$H$58="Annual",MOD(B281,12)=0),Input!$J$58,IF(AND(Input!$H$58="1st Installment",B281=1),Input!$J$58,IF(Input!$H$58="Monthly",Input!$J$58,IF(AND(Input!$H$58="End of the loan",B281=Input!$E$58),Input!$J$58,"")))),"")</f>
        <v/>
      </c>
      <c r="O281" s="6">
        <f t="shared" si="40"/>
        <v>0</v>
      </c>
      <c r="P281" s="4">
        <f t="shared" si="41"/>
        <v>4163.8335089885131</v>
      </c>
      <c r="T281" s="9">
        <f t="shared" si="42"/>
        <v>52590</v>
      </c>
      <c r="U281" s="5">
        <f t="shared" si="45"/>
        <v>4163.83</v>
      </c>
    </row>
    <row r="282" spans="2:21">
      <c r="B282" s="16">
        <f t="shared" si="46"/>
        <v>265</v>
      </c>
      <c r="C282" s="9">
        <f t="shared" si="47"/>
        <v>52621</v>
      </c>
      <c r="D282" s="6">
        <f>IFERROR((PPMT(Input!$E$55/12,B282,$C$6,Input!$E$54,-Input!$E$65,0))," ")</f>
        <v>-2055.5084976791131</v>
      </c>
      <c r="E282" s="6">
        <f>IFERROR(((IPMT(Input!$E$55/12,B282,$C$6,Input!$E$54,-Input!$E$65,0)))," ")</f>
        <v>-2108.3250113094005</v>
      </c>
      <c r="F282" s="6">
        <f t="shared" si="49"/>
        <v>-425464.01336096384</v>
      </c>
      <c r="G282" s="6">
        <f t="shared" si="48"/>
        <v>-677951.86652099178</v>
      </c>
      <c r="H282" s="6">
        <f t="shared" si="43"/>
        <v>-4163.8335089885131</v>
      </c>
      <c r="I282" s="6">
        <f t="shared" si="44"/>
        <v>1074535.9866390361</v>
      </c>
      <c r="J282" s="6" t="str">
        <f>IF(B282&lt;&gt;"",IF(AND(Input!$H$54="Annual",MOD(B282,12)=0),Input!$J$54,IF(AND(Input!$H$54="1st Installment",B282=1),Input!$J$54,IF(Input!$H$54="Monthly",Input!$J$54,""))),"")</f>
        <v/>
      </c>
      <c r="K282" s="6">
        <f>IF(B282&lt;&gt;"",IF(AND(Input!$H$55="Annual",MOD(B282,12)=0),Input!$J$55,IF(AND(Input!$H$55="1st Installment",B282=1),Input!$J$55,IF(Input!$H$55="Monthly",Input!$J$55,""))),"")</f>
        <v>0</v>
      </c>
      <c r="L282" s="6" t="str">
        <f>IF(B282&lt;&gt;"",IF(AND(Input!$H$56="Annual",MOD(B282,12)=0),Input!$J$56,IF(AND(Input!$H$56="1st Installment",B282=1),Input!$J$56,IF(Input!$H$56="Monthly",Input!$J$56,""))),"")</f>
        <v/>
      </c>
      <c r="M282" s="6" t="str">
        <f>IF(B282&lt;&gt;"",IF(AND(Input!$H$57="Annual",MOD(B282,12)=0),Input!$J$57,IF(AND(Input!$H$57="1st Installment",B282=1),Input!$J$57,IF(Input!$H$57="Monthly",Input!$J$57,""))),"")</f>
        <v/>
      </c>
      <c r="N282" s="6" t="str">
        <f>IF(B282&lt;&gt;"",IF(AND(Input!$H$58="Annual",MOD(B282,12)=0),Input!$J$58,IF(AND(Input!$H$58="1st Installment",B282=1),Input!$J$58,IF(Input!$H$58="Monthly",Input!$J$58,IF(AND(Input!$H$58="End of the loan",B282=Input!$E$58),Input!$J$58,"")))),"")</f>
        <v/>
      </c>
      <c r="O282" s="6">
        <f t="shared" si="40"/>
        <v>0</v>
      </c>
      <c r="P282" s="4">
        <f t="shared" si="41"/>
        <v>4163.8335089885131</v>
      </c>
      <c r="T282" s="9">
        <f t="shared" si="42"/>
        <v>52621</v>
      </c>
      <c r="U282" s="5">
        <f t="shared" si="45"/>
        <v>4163.83</v>
      </c>
    </row>
    <row r="283" spans="2:21">
      <c r="B283" s="16">
        <f t="shared" si="46"/>
        <v>266</v>
      </c>
      <c r="C283" s="9">
        <f t="shared" si="47"/>
        <v>52652</v>
      </c>
      <c r="D283" s="6">
        <f>IFERROR((PPMT(Input!$E$55/12,B283,$C$6,Input!$E$54,-Input!$E$65,0))," ")</f>
        <v>-2059.5338684870676</v>
      </c>
      <c r="E283" s="6">
        <f>IFERROR(((IPMT(Input!$E$55/12,B283,$C$6,Input!$E$54,-Input!$E$65,0)))," ")</f>
        <v>-2104.2996405014455</v>
      </c>
      <c r="F283" s="6">
        <f t="shared" si="49"/>
        <v>-427523.54722945089</v>
      </c>
      <c r="G283" s="6">
        <f t="shared" si="48"/>
        <v>-680056.16616149328</v>
      </c>
      <c r="H283" s="6">
        <f t="shared" si="43"/>
        <v>-4163.8335089885131</v>
      </c>
      <c r="I283" s="6">
        <f t="shared" si="44"/>
        <v>1072476.4527705491</v>
      </c>
      <c r="J283" s="6" t="str">
        <f>IF(B283&lt;&gt;"",IF(AND(Input!$H$54="Annual",MOD(B283,12)=0),Input!$J$54,IF(AND(Input!$H$54="1st Installment",B283=1),Input!$J$54,IF(Input!$H$54="Monthly",Input!$J$54,""))),"")</f>
        <v/>
      </c>
      <c r="K283" s="6">
        <f>IF(B283&lt;&gt;"",IF(AND(Input!$H$55="Annual",MOD(B283,12)=0),Input!$J$55,IF(AND(Input!$H$55="1st Installment",B283=1),Input!$J$55,IF(Input!$H$55="Monthly",Input!$J$55,""))),"")</f>
        <v>0</v>
      </c>
      <c r="L283" s="6" t="str">
        <f>IF(B283&lt;&gt;"",IF(AND(Input!$H$56="Annual",MOD(B283,12)=0),Input!$J$56,IF(AND(Input!$H$56="1st Installment",B283=1),Input!$J$56,IF(Input!$H$56="Monthly",Input!$J$56,""))),"")</f>
        <v/>
      </c>
      <c r="M283" s="6" t="str">
        <f>IF(B283&lt;&gt;"",IF(AND(Input!$H$57="Annual",MOD(B283,12)=0),Input!$J$57,IF(AND(Input!$H$57="1st Installment",B283=1),Input!$J$57,IF(Input!$H$57="Monthly",Input!$J$57,""))),"")</f>
        <v/>
      </c>
      <c r="N283" s="6" t="str">
        <f>IF(B283&lt;&gt;"",IF(AND(Input!$H$58="Annual",MOD(B283,12)=0),Input!$J$58,IF(AND(Input!$H$58="1st Installment",B283=1),Input!$J$58,IF(Input!$H$58="Monthly",Input!$J$58,IF(AND(Input!$H$58="End of the loan",B283=Input!$E$58),Input!$J$58,"")))),"")</f>
        <v/>
      </c>
      <c r="O283" s="6">
        <f t="shared" si="40"/>
        <v>0</v>
      </c>
      <c r="P283" s="4">
        <f t="shared" si="41"/>
        <v>4163.8335089885131</v>
      </c>
      <c r="T283" s="9">
        <f t="shared" si="42"/>
        <v>52652</v>
      </c>
      <c r="U283" s="5">
        <f t="shared" si="45"/>
        <v>4163.83</v>
      </c>
    </row>
    <row r="284" spans="2:21">
      <c r="B284" s="16">
        <f t="shared" si="46"/>
        <v>267</v>
      </c>
      <c r="C284" s="9">
        <f t="shared" si="47"/>
        <v>52681</v>
      </c>
      <c r="D284" s="6">
        <f>IFERROR((PPMT(Input!$E$55/12,B284,$C$6,Input!$E$54,-Input!$E$65,0))," ")</f>
        <v>-2063.5671223128552</v>
      </c>
      <c r="E284" s="6">
        <f>IFERROR(((IPMT(Input!$E$55/12,B284,$C$6,Input!$E$54,-Input!$E$65,0)))," ")</f>
        <v>-2100.2663866756584</v>
      </c>
      <c r="F284" s="6">
        <f t="shared" si="49"/>
        <v>-429587.11435176374</v>
      </c>
      <c r="G284" s="6">
        <f t="shared" si="48"/>
        <v>-682156.43254816893</v>
      </c>
      <c r="H284" s="6">
        <f t="shared" si="43"/>
        <v>-4163.8335089885131</v>
      </c>
      <c r="I284" s="6">
        <f t="shared" si="44"/>
        <v>1070412.8856482361</v>
      </c>
      <c r="J284" s="6" t="str">
        <f>IF(B284&lt;&gt;"",IF(AND(Input!$H$54="Annual",MOD(B284,12)=0),Input!$J$54,IF(AND(Input!$H$54="1st Installment",B284=1),Input!$J$54,IF(Input!$H$54="Monthly",Input!$J$54,""))),"")</f>
        <v/>
      </c>
      <c r="K284" s="6">
        <f>IF(B284&lt;&gt;"",IF(AND(Input!$H$55="Annual",MOD(B284,12)=0),Input!$J$55,IF(AND(Input!$H$55="1st Installment",B284=1),Input!$J$55,IF(Input!$H$55="Monthly",Input!$J$55,""))),"")</f>
        <v>0</v>
      </c>
      <c r="L284" s="6" t="str">
        <f>IF(B284&lt;&gt;"",IF(AND(Input!$H$56="Annual",MOD(B284,12)=0),Input!$J$56,IF(AND(Input!$H$56="1st Installment",B284=1),Input!$J$56,IF(Input!$H$56="Monthly",Input!$J$56,""))),"")</f>
        <v/>
      </c>
      <c r="M284" s="6" t="str">
        <f>IF(B284&lt;&gt;"",IF(AND(Input!$H$57="Annual",MOD(B284,12)=0),Input!$J$57,IF(AND(Input!$H$57="1st Installment",B284=1),Input!$J$57,IF(Input!$H$57="Monthly",Input!$J$57,""))),"")</f>
        <v/>
      </c>
      <c r="N284" s="6" t="str">
        <f>IF(B284&lt;&gt;"",IF(AND(Input!$H$58="Annual",MOD(B284,12)=0),Input!$J$58,IF(AND(Input!$H$58="1st Installment",B284=1),Input!$J$58,IF(Input!$H$58="Monthly",Input!$J$58,IF(AND(Input!$H$58="End of the loan",B284=Input!$E$58),Input!$J$58,"")))),"")</f>
        <v/>
      </c>
      <c r="O284" s="6">
        <f t="shared" si="40"/>
        <v>0</v>
      </c>
      <c r="P284" s="4">
        <f t="shared" si="41"/>
        <v>4163.8335089885131</v>
      </c>
      <c r="T284" s="9">
        <f t="shared" si="42"/>
        <v>52681</v>
      </c>
      <c r="U284" s="5">
        <f t="shared" si="45"/>
        <v>4163.83</v>
      </c>
    </row>
    <row r="285" spans="2:21">
      <c r="B285" s="16">
        <f t="shared" si="46"/>
        <v>268</v>
      </c>
      <c r="C285" s="9">
        <f t="shared" si="47"/>
        <v>52712</v>
      </c>
      <c r="D285" s="6">
        <f>IFERROR((PPMT(Input!$E$55/12,B285,$C$6,Input!$E$54,-Input!$E$65,0))," ")</f>
        <v>-2067.6082745940512</v>
      </c>
      <c r="E285" s="6">
        <f>IFERROR(((IPMT(Input!$E$55/12,B285,$C$6,Input!$E$54,-Input!$E$65,0)))," ")</f>
        <v>-2096.2252343944629</v>
      </c>
      <c r="F285" s="6">
        <f t="shared" si="49"/>
        <v>-431654.7226263578</v>
      </c>
      <c r="G285" s="6">
        <f t="shared" si="48"/>
        <v>-684252.65778256336</v>
      </c>
      <c r="H285" s="6">
        <f t="shared" si="43"/>
        <v>-4163.833508988514</v>
      </c>
      <c r="I285" s="6">
        <f t="shared" si="44"/>
        <v>1068345.2773736422</v>
      </c>
      <c r="J285" s="6" t="str">
        <f>IF(B285&lt;&gt;"",IF(AND(Input!$H$54="Annual",MOD(B285,12)=0),Input!$J$54,IF(AND(Input!$H$54="1st Installment",B285=1),Input!$J$54,IF(Input!$H$54="Monthly",Input!$J$54,""))),"")</f>
        <v/>
      </c>
      <c r="K285" s="6">
        <f>IF(B285&lt;&gt;"",IF(AND(Input!$H$55="Annual",MOD(B285,12)=0),Input!$J$55,IF(AND(Input!$H$55="1st Installment",B285=1),Input!$J$55,IF(Input!$H$55="Monthly",Input!$J$55,""))),"")</f>
        <v>0</v>
      </c>
      <c r="L285" s="6" t="str">
        <f>IF(B285&lt;&gt;"",IF(AND(Input!$H$56="Annual",MOD(B285,12)=0),Input!$J$56,IF(AND(Input!$H$56="1st Installment",B285=1),Input!$J$56,IF(Input!$H$56="Monthly",Input!$J$56,""))),"")</f>
        <v/>
      </c>
      <c r="M285" s="6" t="str">
        <f>IF(B285&lt;&gt;"",IF(AND(Input!$H$57="Annual",MOD(B285,12)=0),Input!$J$57,IF(AND(Input!$H$57="1st Installment",B285=1),Input!$J$57,IF(Input!$H$57="Monthly",Input!$J$57,""))),"")</f>
        <v/>
      </c>
      <c r="N285" s="6" t="str">
        <f>IF(B285&lt;&gt;"",IF(AND(Input!$H$58="Annual",MOD(B285,12)=0),Input!$J$58,IF(AND(Input!$H$58="1st Installment",B285=1),Input!$J$58,IF(Input!$H$58="Monthly",Input!$J$58,IF(AND(Input!$H$58="End of the loan",B285=Input!$E$58),Input!$J$58,"")))),"")</f>
        <v/>
      </c>
      <c r="O285" s="6">
        <f t="shared" si="40"/>
        <v>0</v>
      </c>
      <c r="P285" s="4">
        <f t="shared" si="41"/>
        <v>4163.833508988514</v>
      </c>
      <c r="T285" s="9">
        <f t="shared" si="42"/>
        <v>52712</v>
      </c>
      <c r="U285" s="5">
        <f t="shared" si="45"/>
        <v>4163.83</v>
      </c>
    </row>
    <row r="286" spans="2:21">
      <c r="B286" s="16">
        <f t="shared" si="46"/>
        <v>269</v>
      </c>
      <c r="C286" s="9">
        <f t="shared" si="47"/>
        <v>52742</v>
      </c>
      <c r="D286" s="6">
        <f>IFERROR((PPMT(Input!$E$55/12,B286,$C$6,Input!$E$54,-Input!$E$65,0))," ")</f>
        <v>-2071.6573407984647</v>
      </c>
      <c r="E286" s="6">
        <f>IFERROR(((IPMT(Input!$E$55/12,B286,$C$6,Input!$E$54,-Input!$E$65,0)))," ")</f>
        <v>-2092.1761681900493</v>
      </c>
      <c r="F286" s="6">
        <f t="shared" si="49"/>
        <v>-433726.37996715627</v>
      </c>
      <c r="G286" s="6">
        <f t="shared" si="48"/>
        <v>-686344.83395075344</v>
      </c>
      <c r="H286" s="6">
        <f t="shared" si="43"/>
        <v>-4163.833508988514</v>
      </c>
      <c r="I286" s="6">
        <f t="shared" si="44"/>
        <v>1066273.6200328437</v>
      </c>
      <c r="J286" s="6" t="str">
        <f>IF(B286&lt;&gt;"",IF(AND(Input!$H$54="Annual",MOD(B286,12)=0),Input!$J$54,IF(AND(Input!$H$54="1st Installment",B286=1),Input!$J$54,IF(Input!$H$54="Monthly",Input!$J$54,""))),"")</f>
        <v/>
      </c>
      <c r="K286" s="6">
        <f>IF(B286&lt;&gt;"",IF(AND(Input!$H$55="Annual",MOD(B286,12)=0),Input!$J$55,IF(AND(Input!$H$55="1st Installment",B286=1),Input!$J$55,IF(Input!$H$55="Monthly",Input!$J$55,""))),"")</f>
        <v>0</v>
      </c>
      <c r="L286" s="6" t="str">
        <f>IF(B286&lt;&gt;"",IF(AND(Input!$H$56="Annual",MOD(B286,12)=0),Input!$J$56,IF(AND(Input!$H$56="1st Installment",B286=1),Input!$J$56,IF(Input!$H$56="Monthly",Input!$J$56,""))),"")</f>
        <v/>
      </c>
      <c r="M286" s="6" t="str">
        <f>IF(B286&lt;&gt;"",IF(AND(Input!$H$57="Annual",MOD(B286,12)=0),Input!$J$57,IF(AND(Input!$H$57="1st Installment",B286=1),Input!$J$57,IF(Input!$H$57="Monthly",Input!$J$57,""))),"")</f>
        <v/>
      </c>
      <c r="N286" s="6" t="str">
        <f>IF(B286&lt;&gt;"",IF(AND(Input!$H$58="Annual",MOD(B286,12)=0),Input!$J$58,IF(AND(Input!$H$58="1st Installment",B286=1),Input!$J$58,IF(Input!$H$58="Monthly",Input!$J$58,IF(AND(Input!$H$58="End of the loan",B286=Input!$E$58),Input!$J$58,"")))),"")</f>
        <v/>
      </c>
      <c r="O286" s="6">
        <f t="shared" si="40"/>
        <v>0</v>
      </c>
      <c r="P286" s="4">
        <f t="shared" si="41"/>
        <v>4163.833508988514</v>
      </c>
      <c r="T286" s="9">
        <f t="shared" si="42"/>
        <v>52742</v>
      </c>
      <c r="U286" s="5">
        <f t="shared" si="45"/>
        <v>4163.83</v>
      </c>
    </row>
    <row r="287" spans="2:21">
      <c r="B287" s="16">
        <f t="shared" si="46"/>
        <v>270</v>
      </c>
      <c r="C287" s="9">
        <f t="shared" si="47"/>
        <v>52773</v>
      </c>
      <c r="D287" s="6">
        <f>IFERROR((PPMT(Input!$E$55/12,B287,$C$6,Input!$E$54,-Input!$E$65,0))," ")</f>
        <v>-2075.7143364241952</v>
      </c>
      <c r="E287" s="6">
        <f>IFERROR(((IPMT(Input!$E$55/12,B287,$C$6,Input!$E$54,-Input!$E$65,0)))," ")</f>
        <v>-2088.1191725643189</v>
      </c>
      <c r="F287" s="6">
        <f t="shared" si="49"/>
        <v>-435802.09430358047</v>
      </c>
      <c r="G287" s="6">
        <f t="shared" si="48"/>
        <v>-688432.9531233178</v>
      </c>
      <c r="H287" s="6">
        <f t="shared" si="43"/>
        <v>-4163.833508988514</v>
      </c>
      <c r="I287" s="6">
        <f t="shared" si="44"/>
        <v>1064197.9056964195</v>
      </c>
      <c r="J287" s="6" t="str">
        <f>IF(B287&lt;&gt;"",IF(AND(Input!$H$54="Annual",MOD(B287,12)=0),Input!$J$54,IF(AND(Input!$H$54="1st Installment",B287=1),Input!$J$54,IF(Input!$H$54="Monthly",Input!$J$54,""))),"")</f>
        <v/>
      </c>
      <c r="K287" s="6">
        <f>IF(B287&lt;&gt;"",IF(AND(Input!$H$55="Annual",MOD(B287,12)=0),Input!$J$55,IF(AND(Input!$H$55="1st Installment",B287=1),Input!$J$55,IF(Input!$H$55="Monthly",Input!$J$55,""))),"")</f>
        <v>0</v>
      </c>
      <c r="L287" s="6" t="str">
        <f>IF(B287&lt;&gt;"",IF(AND(Input!$H$56="Annual",MOD(B287,12)=0),Input!$J$56,IF(AND(Input!$H$56="1st Installment",B287=1),Input!$J$56,IF(Input!$H$56="Monthly",Input!$J$56,""))),"")</f>
        <v/>
      </c>
      <c r="M287" s="6" t="str">
        <f>IF(B287&lt;&gt;"",IF(AND(Input!$H$57="Annual",MOD(B287,12)=0),Input!$J$57,IF(AND(Input!$H$57="1st Installment",B287=1),Input!$J$57,IF(Input!$H$57="Monthly",Input!$J$57,""))),"")</f>
        <v/>
      </c>
      <c r="N287" s="6" t="str">
        <f>IF(B287&lt;&gt;"",IF(AND(Input!$H$58="Annual",MOD(B287,12)=0),Input!$J$58,IF(AND(Input!$H$58="1st Installment",B287=1),Input!$J$58,IF(Input!$H$58="Monthly",Input!$J$58,IF(AND(Input!$H$58="End of the loan",B287=Input!$E$58),Input!$J$58,"")))),"")</f>
        <v/>
      </c>
      <c r="O287" s="6">
        <f t="shared" si="40"/>
        <v>0</v>
      </c>
      <c r="P287" s="4">
        <f t="shared" si="41"/>
        <v>4163.833508988514</v>
      </c>
      <c r="T287" s="9">
        <f t="shared" si="42"/>
        <v>52773</v>
      </c>
      <c r="U287" s="5">
        <f t="shared" si="45"/>
        <v>4163.83</v>
      </c>
    </row>
    <row r="288" spans="2:21">
      <c r="B288" s="16">
        <f t="shared" si="46"/>
        <v>271</v>
      </c>
      <c r="C288" s="9">
        <f t="shared" si="47"/>
        <v>52803</v>
      </c>
      <c r="D288" s="6">
        <f>IFERROR((PPMT(Input!$E$55/12,B288,$C$6,Input!$E$54,-Input!$E$65,0))," ")</f>
        <v>-2079.7792769996922</v>
      </c>
      <c r="E288" s="6">
        <f>IFERROR(((IPMT(Input!$E$55/12,B288,$C$6,Input!$E$54,-Input!$E$65,0)))," ")</f>
        <v>-2084.0542319888214</v>
      </c>
      <c r="F288" s="6">
        <f t="shared" si="49"/>
        <v>-437881.87358058017</v>
      </c>
      <c r="G288" s="6">
        <f t="shared" si="48"/>
        <v>-690517.00735530665</v>
      </c>
      <c r="H288" s="6">
        <f t="shared" si="43"/>
        <v>-4163.8335089885131</v>
      </c>
      <c r="I288" s="6">
        <f t="shared" si="44"/>
        <v>1062118.1264194199</v>
      </c>
      <c r="J288" s="6" t="str">
        <f>IF(B288&lt;&gt;"",IF(AND(Input!$H$54="Annual",MOD(B288,12)=0),Input!$J$54,IF(AND(Input!$H$54="1st Installment",B288=1),Input!$J$54,IF(Input!$H$54="Monthly",Input!$J$54,""))),"")</f>
        <v/>
      </c>
      <c r="K288" s="6">
        <f>IF(B288&lt;&gt;"",IF(AND(Input!$H$55="Annual",MOD(B288,12)=0),Input!$J$55,IF(AND(Input!$H$55="1st Installment",B288=1),Input!$J$55,IF(Input!$H$55="Monthly",Input!$J$55,""))),"")</f>
        <v>0</v>
      </c>
      <c r="L288" s="6" t="str">
        <f>IF(B288&lt;&gt;"",IF(AND(Input!$H$56="Annual",MOD(B288,12)=0),Input!$J$56,IF(AND(Input!$H$56="1st Installment",B288=1),Input!$J$56,IF(Input!$H$56="Monthly",Input!$J$56,""))),"")</f>
        <v/>
      </c>
      <c r="M288" s="6" t="str">
        <f>IF(B288&lt;&gt;"",IF(AND(Input!$H$57="Annual",MOD(B288,12)=0),Input!$J$57,IF(AND(Input!$H$57="1st Installment",B288=1),Input!$J$57,IF(Input!$H$57="Monthly",Input!$J$57,""))),"")</f>
        <v/>
      </c>
      <c r="N288" s="6" t="str">
        <f>IF(B288&lt;&gt;"",IF(AND(Input!$H$58="Annual",MOD(B288,12)=0),Input!$J$58,IF(AND(Input!$H$58="1st Installment",B288=1),Input!$J$58,IF(Input!$H$58="Monthly",Input!$J$58,IF(AND(Input!$H$58="End of the loan",B288=Input!$E$58),Input!$J$58,"")))),"")</f>
        <v/>
      </c>
      <c r="O288" s="6">
        <f t="shared" si="40"/>
        <v>0</v>
      </c>
      <c r="P288" s="4">
        <f t="shared" si="41"/>
        <v>4163.8335089885131</v>
      </c>
      <c r="T288" s="9">
        <f t="shared" si="42"/>
        <v>52803</v>
      </c>
      <c r="U288" s="5">
        <f t="shared" si="45"/>
        <v>4163.83</v>
      </c>
    </row>
    <row r="289" spans="2:21">
      <c r="B289" s="16">
        <f t="shared" si="46"/>
        <v>272</v>
      </c>
      <c r="C289" s="9">
        <f t="shared" si="47"/>
        <v>52834</v>
      </c>
      <c r="D289" s="6">
        <f>IFERROR((PPMT(Input!$E$55/12,B289,$C$6,Input!$E$54,-Input!$E$65,0))," ")</f>
        <v>-2083.8521780838164</v>
      </c>
      <c r="E289" s="6">
        <f>IFERROR(((IPMT(Input!$E$55/12,B289,$C$6,Input!$E$54,-Input!$E$65,0)))," ")</f>
        <v>-2079.9813309046972</v>
      </c>
      <c r="F289" s="6">
        <f t="shared" si="49"/>
        <v>-439965.72575866396</v>
      </c>
      <c r="G289" s="6">
        <f t="shared" si="48"/>
        <v>-692596.98868621129</v>
      </c>
      <c r="H289" s="6">
        <f t="shared" si="43"/>
        <v>-4163.8335089885131</v>
      </c>
      <c r="I289" s="6">
        <f t="shared" si="44"/>
        <v>1060034.2742413362</v>
      </c>
      <c r="J289" s="6" t="str">
        <f>IF(B289&lt;&gt;"",IF(AND(Input!$H$54="Annual",MOD(B289,12)=0),Input!$J$54,IF(AND(Input!$H$54="1st Installment",B289=1),Input!$J$54,IF(Input!$H$54="Monthly",Input!$J$54,""))),"")</f>
        <v/>
      </c>
      <c r="K289" s="6">
        <f>IF(B289&lt;&gt;"",IF(AND(Input!$H$55="Annual",MOD(B289,12)=0),Input!$J$55,IF(AND(Input!$H$55="1st Installment",B289=1),Input!$J$55,IF(Input!$H$55="Monthly",Input!$J$55,""))),"")</f>
        <v>0</v>
      </c>
      <c r="L289" s="6" t="str">
        <f>IF(B289&lt;&gt;"",IF(AND(Input!$H$56="Annual",MOD(B289,12)=0),Input!$J$56,IF(AND(Input!$H$56="1st Installment",B289=1),Input!$J$56,IF(Input!$H$56="Monthly",Input!$J$56,""))),"")</f>
        <v/>
      </c>
      <c r="M289" s="6" t="str">
        <f>IF(B289&lt;&gt;"",IF(AND(Input!$H$57="Annual",MOD(B289,12)=0),Input!$J$57,IF(AND(Input!$H$57="1st Installment",B289=1),Input!$J$57,IF(Input!$H$57="Monthly",Input!$J$57,""))),"")</f>
        <v/>
      </c>
      <c r="N289" s="6" t="str">
        <f>IF(B289&lt;&gt;"",IF(AND(Input!$H$58="Annual",MOD(B289,12)=0),Input!$J$58,IF(AND(Input!$H$58="1st Installment",B289=1),Input!$J$58,IF(Input!$H$58="Monthly",Input!$J$58,IF(AND(Input!$H$58="End of the loan",B289=Input!$E$58),Input!$J$58,"")))),"")</f>
        <v/>
      </c>
      <c r="O289" s="6">
        <f t="shared" si="40"/>
        <v>0</v>
      </c>
      <c r="P289" s="4">
        <f t="shared" si="41"/>
        <v>4163.8335089885131</v>
      </c>
      <c r="T289" s="9">
        <f t="shared" si="42"/>
        <v>52834</v>
      </c>
      <c r="U289" s="5">
        <f t="shared" si="45"/>
        <v>4163.83</v>
      </c>
    </row>
    <row r="290" spans="2:21">
      <c r="B290" s="16">
        <f t="shared" si="46"/>
        <v>273</v>
      </c>
      <c r="C290" s="9">
        <f t="shared" si="47"/>
        <v>52865</v>
      </c>
      <c r="D290" s="6">
        <f>IFERROR((PPMT(Input!$E$55/12,B290,$C$6,Input!$E$54,-Input!$E$65,0))," ")</f>
        <v>-2087.9330552658971</v>
      </c>
      <c r="E290" s="6">
        <f>IFERROR(((IPMT(Input!$E$55/12,B290,$C$6,Input!$E$54,-Input!$E$65,0)))," ")</f>
        <v>-2075.9004537226165</v>
      </c>
      <c r="F290" s="6">
        <f t="shared" si="49"/>
        <v>-442053.65881392988</v>
      </c>
      <c r="G290" s="6">
        <f t="shared" si="48"/>
        <v>-694672.88913993386</v>
      </c>
      <c r="H290" s="6">
        <f t="shared" si="43"/>
        <v>-4163.8335089885131</v>
      </c>
      <c r="I290" s="6">
        <f t="shared" si="44"/>
        <v>1057946.3411860701</v>
      </c>
      <c r="J290" s="6" t="str">
        <f>IF(B290&lt;&gt;"",IF(AND(Input!$H$54="Annual",MOD(B290,12)=0),Input!$J$54,IF(AND(Input!$H$54="1st Installment",B290=1),Input!$J$54,IF(Input!$H$54="Monthly",Input!$J$54,""))),"")</f>
        <v/>
      </c>
      <c r="K290" s="6">
        <f>IF(B290&lt;&gt;"",IF(AND(Input!$H$55="Annual",MOD(B290,12)=0),Input!$J$55,IF(AND(Input!$H$55="1st Installment",B290=1),Input!$J$55,IF(Input!$H$55="Monthly",Input!$J$55,""))),"")</f>
        <v>0</v>
      </c>
      <c r="L290" s="6" t="str">
        <f>IF(B290&lt;&gt;"",IF(AND(Input!$H$56="Annual",MOD(B290,12)=0),Input!$J$56,IF(AND(Input!$H$56="1st Installment",B290=1),Input!$J$56,IF(Input!$H$56="Monthly",Input!$J$56,""))),"")</f>
        <v/>
      </c>
      <c r="M290" s="6" t="str">
        <f>IF(B290&lt;&gt;"",IF(AND(Input!$H$57="Annual",MOD(B290,12)=0),Input!$J$57,IF(AND(Input!$H$57="1st Installment",B290=1),Input!$J$57,IF(Input!$H$57="Monthly",Input!$J$57,""))),"")</f>
        <v/>
      </c>
      <c r="N290" s="6" t="str">
        <f>IF(B290&lt;&gt;"",IF(AND(Input!$H$58="Annual",MOD(B290,12)=0),Input!$J$58,IF(AND(Input!$H$58="1st Installment",B290=1),Input!$J$58,IF(Input!$H$58="Monthly",Input!$J$58,IF(AND(Input!$H$58="End of the loan",B290=Input!$E$58),Input!$J$58,"")))),"")</f>
        <v/>
      </c>
      <c r="O290" s="6">
        <f t="shared" si="40"/>
        <v>0</v>
      </c>
      <c r="P290" s="4">
        <f t="shared" si="41"/>
        <v>4163.8335089885131</v>
      </c>
      <c r="T290" s="9">
        <f t="shared" si="42"/>
        <v>52865</v>
      </c>
      <c r="U290" s="5">
        <f t="shared" si="45"/>
        <v>4163.83</v>
      </c>
    </row>
    <row r="291" spans="2:21">
      <c r="B291" s="16">
        <f t="shared" si="46"/>
        <v>274</v>
      </c>
      <c r="C291" s="9">
        <f t="shared" si="47"/>
        <v>52895</v>
      </c>
      <c r="D291" s="6">
        <f>IFERROR((PPMT(Input!$E$55/12,B291,$C$6,Input!$E$54,-Input!$E$65,0))," ")</f>
        <v>-2092.0219241657933</v>
      </c>
      <c r="E291" s="6">
        <f>IFERROR(((IPMT(Input!$E$55/12,B291,$C$6,Input!$E$54,-Input!$E$65,0)))," ")</f>
        <v>-2071.8115848227203</v>
      </c>
      <c r="F291" s="6">
        <f t="shared" si="49"/>
        <v>-444145.68073809566</v>
      </c>
      <c r="G291" s="6">
        <f t="shared" si="48"/>
        <v>-696744.70072475658</v>
      </c>
      <c r="H291" s="6">
        <f t="shared" si="43"/>
        <v>-4163.8335089885131</v>
      </c>
      <c r="I291" s="6">
        <f t="shared" si="44"/>
        <v>1055854.3192619043</v>
      </c>
      <c r="J291" s="6" t="str">
        <f>IF(B291&lt;&gt;"",IF(AND(Input!$H$54="Annual",MOD(B291,12)=0),Input!$J$54,IF(AND(Input!$H$54="1st Installment",B291=1),Input!$J$54,IF(Input!$H$54="Monthly",Input!$J$54,""))),"")</f>
        <v/>
      </c>
      <c r="K291" s="6">
        <f>IF(B291&lt;&gt;"",IF(AND(Input!$H$55="Annual",MOD(B291,12)=0),Input!$J$55,IF(AND(Input!$H$55="1st Installment",B291=1),Input!$J$55,IF(Input!$H$55="Monthly",Input!$J$55,""))),"")</f>
        <v>0</v>
      </c>
      <c r="L291" s="6" t="str">
        <f>IF(B291&lt;&gt;"",IF(AND(Input!$H$56="Annual",MOD(B291,12)=0),Input!$J$56,IF(AND(Input!$H$56="1st Installment",B291=1),Input!$J$56,IF(Input!$H$56="Monthly",Input!$J$56,""))),"")</f>
        <v/>
      </c>
      <c r="M291" s="6" t="str">
        <f>IF(B291&lt;&gt;"",IF(AND(Input!$H$57="Annual",MOD(B291,12)=0),Input!$J$57,IF(AND(Input!$H$57="1st Installment",B291=1),Input!$J$57,IF(Input!$H$57="Monthly",Input!$J$57,""))),"")</f>
        <v/>
      </c>
      <c r="N291" s="6" t="str">
        <f>IF(B291&lt;&gt;"",IF(AND(Input!$H$58="Annual",MOD(B291,12)=0),Input!$J$58,IF(AND(Input!$H$58="1st Installment",B291=1),Input!$J$58,IF(Input!$H$58="Monthly",Input!$J$58,IF(AND(Input!$H$58="End of the loan",B291=Input!$E$58),Input!$J$58,"")))),"")</f>
        <v/>
      </c>
      <c r="O291" s="6">
        <f t="shared" si="40"/>
        <v>0</v>
      </c>
      <c r="P291" s="4">
        <f t="shared" si="41"/>
        <v>4163.8335089885131</v>
      </c>
      <c r="T291" s="9">
        <f t="shared" si="42"/>
        <v>52895</v>
      </c>
      <c r="U291" s="5">
        <f t="shared" si="45"/>
        <v>4163.83</v>
      </c>
    </row>
    <row r="292" spans="2:21">
      <c r="B292" s="16">
        <f t="shared" si="46"/>
        <v>275</v>
      </c>
      <c r="C292" s="9">
        <f t="shared" si="47"/>
        <v>52926</v>
      </c>
      <c r="D292" s="6">
        <f>IFERROR((PPMT(Input!$E$55/12,B292,$C$6,Input!$E$54,-Input!$E$65,0))," ")</f>
        <v>-2096.118800433951</v>
      </c>
      <c r="E292" s="6">
        <f>IFERROR(((IPMT(Input!$E$55/12,B292,$C$6,Input!$E$54,-Input!$E$65,0)))," ")</f>
        <v>-2067.7147085545625</v>
      </c>
      <c r="F292" s="6">
        <f t="shared" si="49"/>
        <v>-446241.79953852959</v>
      </c>
      <c r="G292" s="6">
        <f t="shared" si="48"/>
        <v>-698812.41543331114</v>
      </c>
      <c r="H292" s="6">
        <f t="shared" si="43"/>
        <v>-4163.8335089885131</v>
      </c>
      <c r="I292" s="6">
        <f t="shared" si="44"/>
        <v>1053758.2004614705</v>
      </c>
      <c r="J292" s="6" t="str">
        <f>IF(B292&lt;&gt;"",IF(AND(Input!$H$54="Annual",MOD(B292,12)=0),Input!$J$54,IF(AND(Input!$H$54="1st Installment",B292=1),Input!$J$54,IF(Input!$H$54="Monthly",Input!$J$54,""))),"")</f>
        <v/>
      </c>
      <c r="K292" s="6">
        <f>IF(B292&lt;&gt;"",IF(AND(Input!$H$55="Annual",MOD(B292,12)=0),Input!$J$55,IF(AND(Input!$H$55="1st Installment",B292=1),Input!$J$55,IF(Input!$H$55="Monthly",Input!$J$55,""))),"")</f>
        <v>0</v>
      </c>
      <c r="L292" s="6" t="str">
        <f>IF(B292&lt;&gt;"",IF(AND(Input!$H$56="Annual",MOD(B292,12)=0),Input!$J$56,IF(AND(Input!$H$56="1st Installment",B292=1),Input!$J$56,IF(Input!$H$56="Monthly",Input!$J$56,""))),"")</f>
        <v/>
      </c>
      <c r="M292" s="6" t="str">
        <f>IF(B292&lt;&gt;"",IF(AND(Input!$H$57="Annual",MOD(B292,12)=0),Input!$J$57,IF(AND(Input!$H$57="1st Installment",B292=1),Input!$J$57,IF(Input!$H$57="Monthly",Input!$J$57,""))),"")</f>
        <v/>
      </c>
      <c r="N292" s="6" t="str">
        <f>IF(B292&lt;&gt;"",IF(AND(Input!$H$58="Annual",MOD(B292,12)=0),Input!$J$58,IF(AND(Input!$H$58="1st Installment",B292=1),Input!$J$58,IF(Input!$H$58="Monthly",Input!$J$58,IF(AND(Input!$H$58="End of the loan",B292=Input!$E$58),Input!$J$58,"")))),"")</f>
        <v/>
      </c>
      <c r="O292" s="6">
        <f t="shared" si="40"/>
        <v>0</v>
      </c>
      <c r="P292" s="4">
        <f t="shared" si="41"/>
        <v>4163.8335089885131</v>
      </c>
      <c r="T292" s="9">
        <f t="shared" si="42"/>
        <v>52926</v>
      </c>
      <c r="U292" s="5">
        <f t="shared" si="45"/>
        <v>4163.83</v>
      </c>
    </row>
    <row r="293" spans="2:21">
      <c r="B293" s="16">
        <f t="shared" si="46"/>
        <v>276</v>
      </c>
      <c r="C293" s="9">
        <f t="shared" si="47"/>
        <v>52956</v>
      </c>
      <c r="D293" s="6">
        <f>IFERROR((PPMT(Input!$E$55/12,B293,$C$6,Input!$E$54,-Input!$E$65,0))," ")</f>
        <v>-2100.2236997514678</v>
      </c>
      <c r="E293" s="6">
        <f>IFERROR(((IPMT(Input!$E$55/12,B293,$C$6,Input!$E$54,-Input!$E$65,0)))," ")</f>
        <v>-2063.6098092370457</v>
      </c>
      <c r="F293" s="6">
        <f t="shared" si="49"/>
        <v>-448342.02323828108</v>
      </c>
      <c r="G293" s="6">
        <f t="shared" si="48"/>
        <v>-700876.0252425482</v>
      </c>
      <c r="H293" s="6">
        <f t="shared" si="43"/>
        <v>-4163.8335089885131</v>
      </c>
      <c r="I293" s="6">
        <f t="shared" si="44"/>
        <v>1051657.976761719</v>
      </c>
      <c r="J293" s="6" t="str">
        <f>IF(B293&lt;&gt;"",IF(AND(Input!$H$54="Annual",MOD(B293,12)=0),Input!$J$54,IF(AND(Input!$H$54="1st Installment",B293=1),Input!$J$54,IF(Input!$H$54="Monthly",Input!$J$54,""))),"")</f>
        <v/>
      </c>
      <c r="K293" s="6">
        <f>IF(B293&lt;&gt;"",IF(AND(Input!$H$55="Annual",MOD(B293,12)=0),Input!$J$55,IF(AND(Input!$H$55="1st Installment",B293=1),Input!$J$55,IF(Input!$H$55="Monthly",Input!$J$55,""))),"")</f>
        <v>0</v>
      </c>
      <c r="L293" s="6" t="str">
        <f>IF(B293&lt;&gt;"",IF(AND(Input!$H$56="Annual",MOD(B293,12)=0),Input!$J$56,IF(AND(Input!$H$56="1st Installment",B293=1),Input!$J$56,IF(Input!$H$56="Monthly",Input!$J$56,""))),"")</f>
        <v/>
      </c>
      <c r="M293" s="6" t="str">
        <f>IF(B293&lt;&gt;"",IF(AND(Input!$H$57="Annual",MOD(B293,12)=0),Input!$J$57,IF(AND(Input!$H$57="1st Installment",B293=1),Input!$J$57,IF(Input!$H$57="Monthly",Input!$J$57,""))),"")</f>
        <v/>
      </c>
      <c r="N293" s="6" t="str">
        <f>IF(B293&lt;&gt;"",IF(AND(Input!$H$58="Annual",MOD(B293,12)=0),Input!$J$58,IF(AND(Input!$H$58="1st Installment",B293=1),Input!$J$58,IF(Input!$H$58="Monthly",Input!$J$58,IF(AND(Input!$H$58="End of the loan",B293=Input!$E$58),Input!$J$58,"")))),"")</f>
        <v/>
      </c>
      <c r="O293" s="6">
        <f t="shared" si="40"/>
        <v>0</v>
      </c>
      <c r="P293" s="4">
        <f t="shared" si="41"/>
        <v>4163.8335089885131</v>
      </c>
      <c r="T293" s="9">
        <f t="shared" si="42"/>
        <v>52956</v>
      </c>
      <c r="U293" s="5">
        <f t="shared" si="45"/>
        <v>4163.83</v>
      </c>
    </row>
    <row r="294" spans="2:21">
      <c r="B294" s="16">
        <f t="shared" si="46"/>
        <v>277</v>
      </c>
      <c r="C294" s="9">
        <f t="shared" si="47"/>
        <v>52987</v>
      </c>
      <c r="D294" s="6">
        <f>IFERROR((PPMT(Input!$E$55/12,B294,$C$6,Input!$E$54,-Input!$E$65,0))," ")</f>
        <v>-2104.3366378301475</v>
      </c>
      <c r="E294" s="6">
        <f>IFERROR(((IPMT(Input!$E$55/12,B294,$C$6,Input!$E$54,-Input!$E$65,0)))," ")</f>
        <v>-2059.496871158366</v>
      </c>
      <c r="F294" s="6">
        <f t="shared" si="49"/>
        <v>-450446.35987611121</v>
      </c>
      <c r="G294" s="6">
        <f t="shared" si="48"/>
        <v>-702935.52211370657</v>
      </c>
      <c r="H294" s="6">
        <f t="shared" si="43"/>
        <v>-4163.8335089885131</v>
      </c>
      <c r="I294" s="6">
        <f t="shared" si="44"/>
        <v>1049553.6401238889</v>
      </c>
      <c r="J294" s="6" t="str">
        <f>IF(B294&lt;&gt;"",IF(AND(Input!$H$54="Annual",MOD(B294,12)=0),Input!$J$54,IF(AND(Input!$H$54="1st Installment",B294=1),Input!$J$54,IF(Input!$H$54="Monthly",Input!$J$54,""))),"")</f>
        <v/>
      </c>
      <c r="K294" s="6">
        <f>IF(B294&lt;&gt;"",IF(AND(Input!$H$55="Annual",MOD(B294,12)=0),Input!$J$55,IF(AND(Input!$H$55="1st Installment",B294=1),Input!$J$55,IF(Input!$H$55="Monthly",Input!$J$55,""))),"")</f>
        <v>0</v>
      </c>
      <c r="L294" s="6" t="str">
        <f>IF(B294&lt;&gt;"",IF(AND(Input!$H$56="Annual",MOD(B294,12)=0),Input!$J$56,IF(AND(Input!$H$56="1st Installment",B294=1),Input!$J$56,IF(Input!$H$56="Monthly",Input!$J$56,""))),"")</f>
        <v/>
      </c>
      <c r="M294" s="6" t="str">
        <f>IF(B294&lt;&gt;"",IF(AND(Input!$H$57="Annual",MOD(B294,12)=0),Input!$J$57,IF(AND(Input!$H$57="1st Installment",B294=1),Input!$J$57,IF(Input!$H$57="Monthly",Input!$J$57,""))),"")</f>
        <v/>
      </c>
      <c r="N294" s="6" t="str">
        <f>IF(B294&lt;&gt;"",IF(AND(Input!$H$58="Annual",MOD(B294,12)=0),Input!$J$58,IF(AND(Input!$H$58="1st Installment",B294=1),Input!$J$58,IF(Input!$H$58="Monthly",Input!$J$58,IF(AND(Input!$H$58="End of the loan",B294=Input!$E$58),Input!$J$58,"")))),"")</f>
        <v/>
      </c>
      <c r="O294" s="6">
        <f t="shared" si="40"/>
        <v>0</v>
      </c>
      <c r="P294" s="4">
        <f t="shared" si="41"/>
        <v>4163.8335089885131</v>
      </c>
      <c r="T294" s="9">
        <f t="shared" si="42"/>
        <v>52987</v>
      </c>
      <c r="U294" s="5">
        <f t="shared" si="45"/>
        <v>4163.83</v>
      </c>
    </row>
    <row r="295" spans="2:21">
      <c r="B295" s="16">
        <f t="shared" si="46"/>
        <v>278</v>
      </c>
      <c r="C295" s="9">
        <f t="shared" si="47"/>
        <v>53018</v>
      </c>
      <c r="D295" s="6">
        <f>IFERROR((PPMT(Input!$E$55/12,B295,$C$6,Input!$E$54,-Input!$E$65,0))," ")</f>
        <v>-2108.4576304125649</v>
      </c>
      <c r="E295" s="6">
        <f>IFERROR(((IPMT(Input!$E$55/12,B295,$C$6,Input!$E$54,-Input!$E$65,0)))," ")</f>
        <v>-2055.3758785759487</v>
      </c>
      <c r="F295" s="6">
        <f t="shared" si="49"/>
        <v>-452554.81750652374</v>
      </c>
      <c r="G295" s="6">
        <f t="shared" si="48"/>
        <v>-704990.89799228252</v>
      </c>
      <c r="H295" s="6">
        <f t="shared" si="43"/>
        <v>-4163.8335089885131</v>
      </c>
      <c r="I295" s="6">
        <f t="shared" si="44"/>
        <v>1047445.1824934762</v>
      </c>
      <c r="J295" s="6" t="str">
        <f>IF(B295&lt;&gt;"",IF(AND(Input!$H$54="Annual",MOD(B295,12)=0),Input!$J$54,IF(AND(Input!$H$54="1st Installment",B295=1),Input!$J$54,IF(Input!$H$54="Monthly",Input!$J$54,""))),"")</f>
        <v/>
      </c>
      <c r="K295" s="6">
        <f>IF(B295&lt;&gt;"",IF(AND(Input!$H$55="Annual",MOD(B295,12)=0),Input!$J$55,IF(AND(Input!$H$55="1st Installment",B295=1),Input!$J$55,IF(Input!$H$55="Monthly",Input!$J$55,""))),"")</f>
        <v>0</v>
      </c>
      <c r="L295" s="6" t="str">
        <f>IF(B295&lt;&gt;"",IF(AND(Input!$H$56="Annual",MOD(B295,12)=0),Input!$J$56,IF(AND(Input!$H$56="1st Installment",B295=1),Input!$J$56,IF(Input!$H$56="Monthly",Input!$J$56,""))),"")</f>
        <v/>
      </c>
      <c r="M295" s="6" t="str">
        <f>IF(B295&lt;&gt;"",IF(AND(Input!$H$57="Annual",MOD(B295,12)=0),Input!$J$57,IF(AND(Input!$H$57="1st Installment",B295=1),Input!$J$57,IF(Input!$H$57="Monthly",Input!$J$57,""))),"")</f>
        <v/>
      </c>
      <c r="N295" s="6" t="str">
        <f>IF(B295&lt;&gt;"",IF(AND(Input!$H$58="Annual",MOD(B295,12)=0),Input!$J$58,IF(AND(Input!$H$58="1st Installment",B295=1),Input!$J$58,IF(Input!$H$58="Monthly",Input!$J$58,IF(AND(Input!$H$58="End of the loan",B295=Input!$E$58),Input!$J$58,"")))),"")</f>
        <v/>
      </c>
      <c r="O295" s="6">
        <f t="shared" si="40"/>
        <v>0</v>
      </c>
      <c r="P295" s="4">
        <f t="shared" si="41"/>
        <v>4163.8335089885131</v>
      </c>
      <c r="T295" s="9">
        <f t="shared" si="42"/>
        <v>53018</v>
      </c>
      <c r="U295" s="5">
        <f t="shared" si="45"/>
        <v>4163.83</v>
      </c>
    </row>
    <row r="296" spans="2:21">
      <c r="B296" s="16">
        <f t="shared" si="46"/>
        <v>279</v>
      </c>
      <c r="C296" s="9">
        <f t="shared" si="47"/>
        <v>53046</v>
      </c>
      <c r="D296" s="6">
        <f>IFERROR((PPMT(Input!$E$55/12,B296,$C$6,Input!$E$54,-Input!$E$65,0))," ")</f>
        <v>-2112.5866932721228</v>
      </c>
      <c r="E296" s="6">
        <f>IFERROR(((IPMT(Input!$E$55/12,B296,$C$6,Input!$E$54,-Input!$E$65,0)))," ")</f>
        <v>-2051.2468157163908</v>
      </c>
      <c r="F296" s="6">
        <f t="shared" si="49"/>
        <v>-454667.40419979586</v>
      </c>
      <c r="G296" s="6">
        <f t="shared" si="48"/>
        <v>-707042.14480799891</v>
      </c>
      <c r="H296" s="6">
        <f t="shared" si="43"/>
        <v>-4163.8335089885131</v>
      </c>
      <c r="I296" s="6">
        <f t="shared" si="44"/>
        <v>1045332.5958002042</v>
      </c>
      <c r="J296" s="6" t="str">
        <f>IF(B296&lt;&gt;"",IF(AND(Input!$H$54="Annual",MOD(B296,12)=0),Input!$J$54,IF(AND(Input!$H$54="1st Installment",B296=1),Input!$J$54,IF(Input!$H$54="Monthly",Input!$J$54,""))),"")</f>
        <v/>
      </c>
      <c r="K296" s="6">
        <f>IF(B296&lt;&gt;"",IF(AND(Input!$H$55="Annual",MOD(B296,12)=0),Input!$J$55,IF(AND(Input!$H$55="1st Installment",B296=1),Input!$J$55,IF(Input!$H$55="Monthly",Input!$J$55,""))),"")</f>
        <v>0</v>
      </c>
      <c r="L296" s="6" t="str">
        <f>IF(B296&lt;&gt;"",IF(AND(Input!$H$56="Annual",MOD(B296,12)=0),Input!$J$56,IF(AND(Input!$H$56="1st Installment",B296=1),Input!$J$56,IF(Input!$H$56="Monthly",Input!$J$56,""))),"")</f>
        <v/>
      </c>
      <c r="M296" s="6" t="str">
        <f>IF(B296&lt;&gt;"",IF(AND(Input!$H$57="Annual",MOD(B296,12)=0),Input!$J$57,IF(AND(Input!$H$57="1st Installment",B296=1),Input!$J$57,IF(Input!$H$57="Monthly",Input!$J$57,""))),"")</f>
        <v/>
      </c>
      <c r="N296" s="6" t="str">
        <f>IF(B296&lt;&gt;"",IF(AND(Input!$H$58="Annual",MOD(B296,12)=0),Input!$J$58,IF(AND(Input!$H$58="1st Installment",B296=1),Input!$J$58,IF(Input!$H$58="Monthly",Input!$J$58,IF(AND(Input!$H$58="End of the loan",B296=Input!$E$58),Input!$J$58,"")))),"")</f>
        <v/>
      </c>
      <c r="O296" s="6">
        <f t="shared" si="40"/>
        <v>0</v>
      </c>
      <c r="P296" s="4">
        <f t="shared" si="41"/>
        <v>4163.8335089885131</v>
      </c>
      <c r="T296" s="9">
        <f t="shared" si="42"/>
        <v>53046</v>
      </c>
      <c r="U296" s="5">
        <f t="shared" si="45"/>
        <v>4163.83</v>
      </c>
    </row>
    <row r="297" spans="2:21">
      <c r="B297" s="16">
        <f t="shared" si="46"/>
        <v>280</v>
      </c>
      <c r="C297" s="9">
        <f t="shared" si="47"/>
        <v>53077</v>
      </c>
      <c r="D297" s="6">
        <f>IFERROR((PPMT(Input!$E$55/12,B297,$C$6,Input!$E$54,-Input!$E$65,0))," ")</f>
        <v>-2116.7238422131145</v>
      </c>
      <c r="E297" s="6">
        <f>IFERROR(((IPMT(Input!$E$55/12,B297,$C$6,Input!$E$54,-Input!$E$65,0)))," ")</f>
        <v>-2047.1096667753995</v>
      </c>
      <c r="F297" s="6">
        <f t="shared" si="49"/>
        <v>-456784.12804200896</v>
      </c>
      <c r="G297" s="6">
        <f t="shared" si="48"/>
        <v>-709089.25447477435</v>
      </c>
      <c r="H297" s="6">
        <f t="shared" si="43"/>
        <v>-4163.833508988514</v>
      </c>
      <c r="I297" s="6">
        <f t="shared" si="44"/>
        <v>1043215.871957991</v>
      </c>
      <c r="J297" s="6" t="str">
        <f>IF(B297&lt;&gt;"",IF(AND(Input!$H$54="Annual",MOD(B297,12)=0),Input!$J$54,IF(AND(Input!$H$54="1st Installment",B297=1),Input!$J$54,IF(Input!$H$54="Monthly",Input!$J$54,""))),"")</f>
        <v/>
      </c>
      <c r="K297" s="6">
        <f>IF(B297&lt;&gt;"",IF(AND(Input!$H$55="Annual",MOD(B297,12)=0),Input!$J$55,IF(AND(Input!$H$55="1st Installment",B297=1),Input!$J$55,IF(Input!$H$55="Monthly",Input!$J$55,""))),"")</f>
        <v>0</v>
      </c>
      <c r="L297" s="6" t="str">
        <f>IF(B297&lt;&gt;"",IF(AND(Input!$H$56="Annual",MOD(B297,12)=0),Input!$J$56,IF(AND(Input!$H$56="1st Installment",B297=1),Input!$J$56,IF(Input!$H$56="Monthly",Input!$J$56,""))),"")</f>
        <v/>
      </c>
      <c r="M297" s="6" t="str">
        <f>IF(B297&lt;&gt;"",IF(AND(Input!$H$57="Annual",MOD(B297,12)=0),Input!$J$57,IF(AND(Input!$H$57="1st Installment",B297=1),Input!$J$57,IF(Input!$H$57="Monthly",Input!$J$57,""))),"")</f>
        <v/>
      </c>
      <c r="N297" s="6" t="str">
        <f>IF(B297&lt;&gt;"",IF(AND(Input!$H$58="Annual",MOD(B297,12)=0),Input!$J$58,IF(AND(Input!$H$58="1st Installment",B297=1),Input!$J$58,IF(Input!$H$58="Monthly",Input!$J$58,IF(AND(Input!$H$58="End of the loan",B297=Input!$E$58),Input!$J$58,"")))),"")</f>
        <v/>
      </c>
      <c r="O297" s="6">
        <f t="shared" si="40"/>
        <v>0</v>
      </c>
      <c r="P297" s="4">
        <f t="shared" si="41"/>
        <v>4163.833508988514</v>
      </c>
      <c r="T297" s="9">
        <f t="shared" si="42"/>
        <v>53077</v>
      </c>
      <c r="U297" s="5">
        <f t="shared" si="45"/>
        <v>4163.83</v>
      </c>
    </row>
    <row r="298" spans="2:21">
      <c r="B298" s="16">
        <f t="shared" si="46"/>
        <v>281</v>
      </c>
      <c r="C298" s="9">
        <f t="shared" si="47"/>
        <v>53107</v>
      </c>
      <c r="D298" s="6">
        <f>IFERROR((PPMT(Input!$E$55/12,B298,$C$6,Input!$E$54,-Input!$E$65,0))," ")</f>
        <v>-2120.8690930707812</v>
      </c>
      <c r="E298" s="6">
        <f>IFERROR(((IPMT(Input!$E$55/12,B298,$C$6,Input!$E$54,-Input!$E$65,0)))," ")</f>
        <v>-2042.9644159177321</v>
      </c>
      <c r="F298" s="6">
        <f t="shared" si="49"/>
        <v>-458904.99713507976</v>
      </c>
      <c r="G298" s="6">
        <f t="shared" si="48"/>
        <v>-711132.21889069211</v>
      </c>
      <c r="H298" s="6">
        <f t="shared" si="43"/>
        <v>-4163.8335089885131</v>
      </c>
      <c r="I298" s="6">
        <f t="shared" si="44"/>
        <v>1041095.0028649203</v>
      </c>
      <c r="J298" s="6" t="str">
        <f>IF(B298&lt;&gt;"",IF(AND(Input!$H$54="Annual",MOD(B298,12)=0),Input!$J$54,IF(AND(Input!$H$54="1st Installment",B298=1),Input!$J$54,IF(Input!$H$54="Monthly",Input!$J$54,""))),"")</f>
        <v/>
      </c>
      <c r="K298" s="6">
        <f>IF(B298&lt;&gt;"",IF(AND(Input!$H$55="Annual",MOD(B298,12)=0),Input!$J$55,IF(AND(Input!$H$55="1st Installment",B298=1),Input!$J$55,IF(Input!$H$55="Monthly",Input!$J$55,""))),"")</f>
        <v>0</v>
      </c>
      <c r="L298" s="6" t="str">
        <f>IF(B298&lt;&gt;"",IF(AND(Input!$H$56="Annual",MOD(B298,12)=0),Input!$J$56,IF(AND(Input!$H$56="1st Installment",B298=1),Input!$J$56,IF(Input!$H$56="Monthly",Input!$J$56,""))),"")</f>
        <v/>
      </c>
      <c r="M298" s="6" t="str">
        <f>IF(B298&lt;&gt;"",IF(AND(Input!$H$57="Annual",MOD(B298,12)=0),Input!$J$57,IF(AND(Input!$H$57="1st Installment",B298=1),Input!$J$57,IF(Input!$H$57="Monthly",Input!$J$57,""))),"")</f>
        <v/>
      </c>
      <c r="N298" s="6" t="str">
        <f>IF(B298&lt;&gt;"",IF(AND(Input!$H$58="Annual",MOD(B298,12)=0),Input!$J$58,IF(AND(Input!$H$58="1st Installment",B298=1),Input!$J$58,IF(Input!$H$58="Monthly",Input!$J$58,IF(AND(Input!$H$58="End of the loan",B298=Input!$E$58),Input!$J$58,"")))),"")</f>
        <v/>
      </c>
      <c r="O298" s="6">
        <f t="shared" si="40"/>
        <v>0</v>
      </c>
      <c r="P298" s="4">
        <f t="shared" si="41"/>
        <v>4163.8335089885131</v>
      </c>
      <c r="T298" s="9">
        <f t="shared" si="42"/>
        <v>53107</v>
      </c>
      <c r="U298" s="5">
        <f t="shared" si="45"/>
        <v>4163.83</v>
      </c>
    </row>
    <row r="299" spans="2:21">
      <c r="B299" s="16">
        <f t="shared" si="46"/>
        <v>282</v>
      </c>
      <c r="C299" s="9">
        <f t="shared" si="47"/>
        <v>53138</v>
      </c>
      <c r="D299" s="6">
        <f>IFERROR((PPMT(Input!$E$55/12,B299,$C$6,Input!$E$54,-Input!$E$65,0))," ")</f>
        <v>-2125.0224617113781</v>
      </c>
      <c r="E299" s="6">
        <f>IFERROR(((IPMT(Input!$E$55/12,B299,$C$6,Input!$E$54,-Input!$E$65,0)))," ")</f>
        <v>-2038.8110472771352</v>
      </c>
      <c r="F299" s="6">
        <f t="shared" si="49"/>
        <v>-461030.01959679113</v>
      </c>
      <c r="G299" s="6">
        <f t="shared" si="48"/>
        <v>-713171.02993796929</v>
      </c>
      <c r="H299" s="6">
        <f t="shared" si="43"/>
        <v>-4163.8335089885131</v>
      </c>
      <c r="I299" s="6">
        <f t="shared" si="44"/>
        <v>1038969.9804032089</v>
      </c>
      <c r="J299" s="6" t="str">
        <f>IF(B299&lt;&gt;"",IF(AND(Input!$H$54="Annual",MOD(B299,12)=0),Input!$J$54,IF(AND(Input!$H$54="1st Installment",B299=1),Input!$J$54,IF(Input!$H$54="Monthly",Input!$J$54,""))),"")</f>
        <v/>
      </c>
      <c r="K299" s="6">
        <f>IF(B299&lt;&gt;"",IF(AND(Input!$H$55="Annual",MOD(B299,12)=0),Input!$J$55,IF(AND(Input!$H$55="1st Installment",B299=1),Input!$J$55,IF(Input!$H$55="Monthly",Input!$J$55,""))),"")</f>
        <v>0</v>
      </c>
      <c r="L299" s="6" t="str">
        <f>IF(B299&lt;&gt;"",IF(AND(Input!$H$56="Annual",MOD(B299,12)=0),Input!$J$56,IF(AND(Input!$H$56="1st Installment",B299=1),Input!$J$56,IF(Input!$H$56="Monthly",Input!$J$56,""))),"")</f>
        <v/>
      </c>
      <c r="M299" s="6" t="str">
        <f>IF(B299&lt;&gt;"",IF(AND(Input!$H$57="Annual",MOD(B299,12)=0),Input!$J$57,IF(AND(Input!$H$57="1st Installment",B299=1),Input!$J$57,IF(Input!$H$57="Monthly",Input!$J$57,""))),"")</f>
        <v/>
      </c>
      <c r="N299" s="6" t="str">
        <f>IF(B299&lt;&gt;"",IF(AND(Input!$H$58="Annual",MOD(B299,12)=0),Input!$J$58,IF(AND(Input!$H$58="1st Installment",B299=1),Input!$J$58,IF(Input!$H$58="Monthly",Input!$J$58,IF(AND(Input!$H$58="End of the loan",B299=Input!$E$58),Input!$J$58,"")))),"")</f>
        <v/>
      </c>
      <c r="O299" s="6">
        <f t="shared" si="40"/>
        <v>0</v>
      </c>
      <c r="P299" s="4">
        <f t="shared" si="41"/>
        <v>4163.8335089885131</v>
      </c>
      <c r="T299" s="9">
        <f t="shared" si="42"/>
        <v>53138</v>
      </c>
      <c r="U299" s="5">
        <f t="shared" si="45"/>
        <v>4163.83</v>
      </c>
    </row>
    <row r="300" spans="2:21">
      <c r="B300" s="16">
        <f t="shared" si="46"/>
        <v>283</v>
      </c>
      <c r="C300" s="9">
        <f t="shared" si="47"/>
        <v>53168</v>
      </c>
      <c r="D300" s="6">
        <f>IFERROR((PPMT(Input!$E$55/12,B300,$C$6,Input!$E$54,-Input!$E$65,0))," ")</f>
        <v>-2129.1839640322296</v>
      </c>
      <c r="E300" s="6">
        <f>IFERROR(((IPMT(Input!$E$55/12,B300,$C$6,Input!$E$54,-Input!$E$65,0)))," ")</f>
        <v>-2034.649544956284</v>
      </c>
      <c r="F300" s="6">
        <f t="shared" si="49"/>
        <v>-463159.20356082334</v>
      </c>
      <c r="G300" s="6">
        <f t="shared" si="48"/>
        <v>-715205.67948292557</v>
      </c>
      <c r="H300" s="6">
        <f t="shared" si="43"/>
        <v>-4163.8335089885131</v>
      </c>
      <c r="I300" s="6">
        <f t="shared" si="44"/>
        <v>1036840.7964391767</v>
      </c>
      <c r="J300" s="6" t="str">
        <f>IF(B300&lt;&gt;"",IF(AND(Input!$H$54="Annual",MOD(B300,12)=0),Input!$J$54,IF(AND(Input!$H$54="1st Installment",B300=1),Input!$J$54,IF(Input!$H$54="Monthly",Input!$J$54,""))),"")</f>
        <v/>
      </c>
      <c r="K300" s="6">
        <f>IF(B300&lt;&gt;"",IF(AND(Input!$H$55="Annual",MOD(B300,12)=0),Input!$J$55,IF(AND(Input!$H$55="1st Installment",B300=1),Input!$J$55,IF(Input!$H$55="Monthly",Input!$J$55,""))),"")</f>
        <v>0</v>
      </c>
      <c r="L300" s="6" t="str">
        <f>IF(B300&lt;&gt;"",IF(AND(Input!$H$56="Annual",MOD(B300,12)=0),Input!$J$56,IF(AND(Input!$H$56="1st Installment",B300=1),Input!$J$56,IF(Input!$H$56="Monthly",Input!$J$56,""))),"")</f>
        <v/>
      </c>
      <c r="M300" s="6" t="str">
        <f>IF(B300&lt;&gt;"",IF(AND(Input!$H$57="Annual",MOD(B300,12)=0),Input!$J$57,IF(AND(Input!$H$57="1st Installment",B300=1),Input!$J$57,IF(Input!$H$57="Monthly",Input!$J$57,""))),"")</f>
        <v/>
      </c>
      <c r="N300" s="6" t="str">
        <f>IF(B300&lt;&gt;"",IF(AND(Input!$H$58="Annual",MOD(B300,12)=0),Input!$J$58,IF(AND(Input!$H$58="1st Installment",B300=1),Input!$J$58,IF(Input!$H$58="Monthly",Input!$J$58,IF(AND(Input!$H$58="End of the loan",B300=Input!$E$58),Input!$J$58,"")))),"")</f>
        <v/>
      </c>
      <c r="O300" s="6">
        <f t="shared" si="40"/>
        <v>0</v>
      </c>
      <c r="P300" s="4">
        <f t="shared" si="41"/>
        <v>4163.8335089885131</v>
      </c>
      <c r="T300" s="9">
        <f t="shared" si="42"/>
        <v>53168</v>
      </c>
      <c r="U300" s="5">
        <f t="shared" si="45"/>
        <v>4163.83</v>
      </c>
    </row>
    <row r="301" spans="2:21">
      <c r="B301" s="16">
        <f t="shared" si="46"/>
        <v>284</v>
      </c>
      <c r="C301" s="9">
        <f t="shared" si="47"/>
        <v>53199</v>
      </c>
      <c r="D301" s="6">
        <f>IFERROR((PPMT(Input!$E$55/12,B301,$C$6,Input!$E$54,-Input!$E$65,0))," ")</f>
        <v>-2133.3536159617929</v>
      </c>
      <c r="E301" s="6">
        <f>IFERROR(((IPMT(Input!$E$55/12,B301,$C$6,Input!$E$54,-Input!$E$65,0)))," ")</f>
        <v>-2030.4798930267207</v>
      </c>
      <c r="F301" s="6">
        <f t="shared" si="49"/>
        <v>-465292.55717678514</v>
      </c>
      <c r="G301" s="6">
        <f t="shared" si="48"/>
        <v>-717236.15937595232</v>
      </c>
      <c r="H301" s="6">
        <f t="shared" si="43"/>
        <v>-4163.8335089885131</v>
      </c>
      <c r="I301" s="6">
        <f t="shared" si="44"/>
        <v>1034707.4428232149</v>
      </c>
      <c r="J301" s="6" t="str">
        <f>IF(B301&lt;&gt;"",IF(AND(Input!$H$54="Annual",MOD(B301,12)=0),Input!$J$54,IF(AND(Input!$H$54="1st Installment",B301=1),Input!$J$54,IF(Input!$H$54="Monthly",Input!$J$54,""))),"")</f>
        <v/>
      </c>
      <c r="K301" s="6">
        <f>IF(B301&lt;&gt;"",IF(AND(Input!$H$55="Annual",MOD(B301,12)=0),Input!$J$55,IF(AND(Input!$H$55="1st Installment",B301=1),Input!$J$55,IF(Input!$H$55="Monthly",Input!$J$55,""))),"")</f>
        <v>0</v>
      </c>
      <c r="L301" s="6" t="str">
        <f>IF(B301&lt;&gt;"",IF(AND(Input!$H$56="Annual",MOD(B301,12)=0),Input!$J$56,IF(AND(Input!$H$56="1st Installment",B301=1),Input!$J$56,IF(Input!$H$56="Monthly",Input!$J$56,""))),"")</f>
        <v/>
      </c>
      <c r="M301" s="6" t="str">
        <f>IF(B301&lt;&gt;"",IF(AND(Input!$H$57="Annual",MOD(B301,12)=0),Input!$J$57,IF(AND(Input!$H$57="1st Installment",B301=1),Input!$J$57,IF(Input!$H$57="Monthly",Input!$J$57,""))),"")</f>
        <v/>
      </c>
      <c r="N301" s="6" t="str">
        <f>IF(B301&lt;&gt;"",IF(AND(Input!$H$58="Annual",MOD(B301,12)=0),Input!$J$58,IF(AND(Input!$H$58="1st Installment",B301=1),Input!$J$58,IF(Input!$H$58="Monthly",Input!$J$58,IF(AND(Input!$H$58="End of the loan",B301=Input!$E$58),Input!$J$58,"")))),"")</f>
        <v/>
      </c>
      <c r="O301" s="6">
        <f t="shared" si="40"/>
        <v>0</v>
      </c>
      <c r="P301" s="4">
        <f t="shared" si="41"/>
        <v>4163.8335089885131</v>
      </c>
      <c r="T301" s="9">
        <f t="shared" si="42"/>
        <v>53199</v>
      </c>
      <c r="U301" s="5">
        <f t="shared" si="45"/>
        <v>4163.83</v>
      </c>
    </row>
    <row r="302" spans="2:21">
      <c r="B302" s="16">
        <f t="shared" si="46"/>
        <v>285</v>
      </c>
      <c r="C302" s="9">
        <f t="shared" si="47"/>
        <v>53230</v>
      </c>
      <c r="D302" s="6">
        <f>IFERROR((PPMT(Input!$E$55/12,B302,$C$6,Input!$E$54,-Input!$E$65,0))," ")</f>
        <v>-2137.5314334597178</v>
      </c>
      <c r="E302" s="6">
        <f>IFERROR(((IPMT(Input!$E$55/12,B302,$C$6,Input!$E$54,-Input!$E$65,0)))," ")</f>
        <v>-2026.3020755287955</v>
      </c>
      <c r="F302" s="6">
        <f t="shared" si="49"/>
        <v>-467430.08861024486</v>
      </c>
      <c r="G302" s="6">
        <f t="shared" si="48"/>
        <v>-719262.4614514811</v>
      </c>
      <c r="H302" s="6">
        <f t="shared" si="43"/>
        <v>-4163.8335089885131</v>
      </c>
      <c r="I302" s="6">
        <f t="shared" si="44"/>
        <v>1032569.9113897551</v>
      </c>
      <c r="J302" s="6" t="str">
        <f>IF(B302&lt;&gt;"",IF(AND(Input!$H$54="Annual",MOD(B302,12)=0),Input!$J$54,IF(AND(Input!$H$54="1st Installment",B302=1),Input!$J$54,IF(Input!$H$54="Monthly",Input!$J$54,""))),"")</f>
        <v/>
      </c>
      <c r="K302" s="6">
        <f>IF(B302&lt;&gt;"",IF(AND(Input!$H$55="Annual",MOD(B302,12)=0),Input!$J$55,IF(AND(Input!$H$55="1st Installment",B302=1),Input!$J$55,IF(Input!$H$55="Monthly",Input!$J$55,""))),"")</f>
        <v>0</v>
      </c>
      <c r="L302" s="6" t="str">
        <f>IF(B302&lt;&gt;"",IF(AND(Input!$H$56="Annual",MOD(B302,12)=0),Input!$J$56,IF(AND(Input!$H$56="1st Installment",B302=1),Input!$J$56,IF(Input!$H$56="Monthly",Input!$J$56,""))),"")</f>
        <v/>
      </c>
      <c r="M302" s="6" t="str">
        <f>IF(B302&lt;&gt;"",IF(AND(Input!$H$57="Annual",MOD(B302,12)=0),Input!$J$57,IF(AND(Input!$H$57="1st Installment",B302=1),Input!$J$57,IF(Input!$H$57="Monthly",Input!$J$57,""))),"")</f>
        <v/>
      </c>
      <c r="N302" s="6" t="str">
        <f>IF(B302&lt;&gt;"",IF(AND(Input!$H$58="Annual",MOD(B302,12)=0),Input!$J$58,IF(AND(Input!$H$58="1st Installment",B302=1),Input!$J$58,IF(Input!$H$58="Monthly",Input!$J$58,IF(AND(Input!$H$58="End of the loan",B302=Input!$E$58),Input!$J$58,"")))),"")</f>
        <v/>
      </c>
      <c r="O302" s="6">
        <f t="shared" si="40"/>
        <v>0</v>
      </c>
      <c r="P302" s="4">
        <f t="shared" si="41"/>
        <v>4163.8335089885131</v>
      </c>
      <c r="T302" s="9">
        <f t="shared" si="42"/>
        <v>53230</v>
      </c>
      <c r="U302" s="5">
        <f t="shared" si="45"/>
        <v>4163.83</v>
      </c>
    </row>
    <row r="303" spans="2:21">
      <c r="B303" s="16">
        <f t="shared" si="46"/>
        <v>286</v>
      </c>
      <c r="C303" s="9">
        <f t="shared" si="47"/>
        <v>53260</v>
      </c>
      <c r="D303" s="6">
        <f>IFERROR((PPMT(Input!$E$55/12,B303,$C$6,Input!$E$54,-Input!$E$65,0))," ")</f>
        <v>-2141.7174325169103</v>
      </c>
      <c r="E303" s="6">
        <f>IFERROR(((IPMT(Input!$E$55/12,B303,$C$6,Input!$E$54,-Input!$E$65,0)))," ")</f>
        <v>-2022.1160764716035</v>
      </c>
      <c r="F303" s="6">
        <f t="shared" si="49"/>
        <v>-469571.80604276177</v>
      </c>
      <c r="G303" s="6">
        <f t="shared" si="48"/>
        <v>-721284.57752795273</v>
      </c>
      <c r="H303" s="6">
        <f t="shared" si="43"/>
        <v>-4163.833508988514</v>
      </c>
      <c r="I303" s="6">
        <f t="shared" si="44"/>
        <v>1030428.1939572382</v>
      </c>
      <c r="J303" s="6" t="str">
        <f>IF(B303&lt;&gt;"",IF(AND(Input!$H$54="Annual",MOD(B303,12)=0),Input!$J$54,IF(AND(Input!$H$54="1st Installment",B303=1),Input!$J$54,IF(Input!$H$54="Monthly",Input!$J$54,""))),"")</f>
        <v/>
      </c>
      <c r="K303" s="6">
        <f>IF(B303&lt;&gt;"",IF(AND(Input!$H$55="Annual",MOD(B303,12)=0),Input!$J$55,IF(AND(Input!$H$55="1st Installment",B303=1),Input!$J$55,IF(Input!$H$55="Monthly",Input!$J$55,""))),"")</f>
        <v>0</v>
      </c>
      <c r="L303" s="6" t="str">
        <f>IF(B303&lt;&gt;"",IF(AND(Input!$H$56="Annual",MOD(B303,12)=0),Input!$J$56,IF(AND(Input!$H$56="1st Installment",B303=1),Input!$J$56,IF(Input!$H$56="Monthly",Input!$J$56,""))),"")</f>
        <v/>
      </c>
      <c r="M303" s="6" t="str">
        <f>IF(B303&lt;&gt;"",IF(AND(Input!$H$57="Annual",MOD(B303,12)=0),Input!$J$57,IF(AND(Input!$H$57="1st Installment",B303=1),Input!$J$57,IF(Input!$H$57="Monthly",Input!$J$57,""))),"")</f>
        <v/>
      </c>
      <c r="N303" s="6" t="str">
        <f>IF(B303&lt;&gt;"",IF(AND(Input!$H$58="Annual",MOD(B303,12)=0),Input!$J$58,IF(AND(Input!$H$58="1st Installment",B303=1),Input!$J$58,IF(Input!$H$58="Monthly",Input!$J$58,IF(AND(Input!$H$58="End of the loan",B303=Input!$E$58),Input!$J$58,"")))),"")</f>
        <v/>
      </c>
      <c r="O303" s="6">
        <f t="shared" si="40"/>
        <v>0</v>
      </c>
      <c r="P303" s="4">
        <f t="shared" si="41"/>
        <v>4163.833508988514</v>
      </c>
      <c r="T303" s="9">
        <f t="shared" si="42"/>
        <v>53260</v>
      </c>
      <c r="U303" s="5">
        <f t="shared" si="45"/>
        <v>4163.83</v>
      </c>
    </row>
    <row r="304" spans="2:21">
      <c r="B304" s="16">
        <f t="shared" si="46"/>
        <v>287</v>
      </c>
      <c r="C304" s="9">
        <f t="shared" si="47"/>
        <v>53291</v>
      </c>
      <c r="D304" s="6">
        <f>IFERROR((PPMT(Input!$E$55/12,B304,$C$6,Input!$E$54,-Input!$E$65,0))," ")</f>
        <v>-2145.9116291555888</v>
      </c>
      <c r="E304" s="6">
        <f>IFERROR(((IPMT(Input!$E$55/12,B304,$C$6,Input!$E$54,-Input!$E$65,0)))," ")</f>
        <v>-2017.9218798329248</v>
      </c>
      <c r="F304" s="6">
        <f t="shared" si="49"/>
        <v>-471717.71767191734</v>
      </c>
      <c r="G304" s="6">
        <f t="shared" si="48"/>
        <v>-723302.49940778571</v>
      </c>
      <c r="H304" s="6">
        <f t="shared" si="43"/>
        <v>-4163.8335089885131</v>
      </c>
      <c r="I304" s="6">
        <f t="shared" si="44"/>
        <v>1028282.2823280827</v>
      </c>
      <c r="J304" s="6" t="str">
        <f>IF(B304&lt;&gt;"",IF(AND(Input!$H$54="Annual",MOD(B304,12)=0),Input!$J$54,IF(AND(Input!$H$54="1st Installment",B304=1),Input!$J$54,IF(Input!$H$54="Monthly",Input!$J$54,""))),"")</f>
        <v/>
      </c>
      <c r="K304" s="6">
        <f>IF(B304&lt;&gt;"",IF(AND(Input!$H$55="Annual",MOD(B304,12)=0),Input!$J$55,IF(AND(Input!$H$55="1st Installment",B304=1),Input!$J$55,IF(Input!$H$55="Monthly",Input!$J$55,""))),"")</f>
        <v>0</v>
      </c>
      <c r="L304" s="6" t="str">
        <f>IF(B304&lt;&gt;"",IF(AND(Input!$H$56="Annual",MOD(B304,12)=0),Input!$J$56,IF(AND(Input!$H$56="1st Installment",B304=1),Input!$J$56,IF(Input!$H$56="Monthly",Input!$J$56,""))),"")</f>
        <v/>
      </c>
      <c r="M304" s="6" t="str">
        <f>IF(B304&lt;&gt;"",IF(AND(Input!$H$57="Annual",MOD(B304,12)=0),Input!$J$57,IF(AND(Input!$H$57="1st Installment",B304=1),Input!$J$57,IF(Input!$H$57="Monthly",Input!$J$57,""))),"")</f>
        <v/>
      </c>
      <c r="N304" s="6" t="str">
        <f>IF(B304&lt;&gt;"",IF(AND(Input!$H$58="Annual",MOD(B304,12)=0),Input!$J$58,IF(AND(Input!$H$58="1st Installment",B304=1),Input!$J$58,IF(Input!$H$58="Monthly",Input!$J$58,IF(AND(Input!$H$58="End of the loan",B304=Input!$E$58),Input!$J$58,"")))),"")</f>
        <v/>
      </c>
      <c r="O304" s="6">
        <f t="shared" si="40"/>
        <v>0</v>
      </c>
      <c r="P304" s="4">
        <f t="shared" si="41"/>
        <v>4163.8335089885131</v>
      </c>
      <c r="T304" s="9">
        <f t="shared" si="42"/>
        <v>53291</v>
      </c>
      <c r="U304" s="5">
        <f t="shared" si="45"/>
        <v>4163.83</v>
      </c>
    </row>
    <row r="305" spans="2:21">
      <c r="B305" s="16">
        <f t="shared" si="46"/>
        <v>288</v>
      </c>
      <c r="C305" s="9">
        <f t="shared" si="47"/>
        <v>53321</v>
      </c>
      <c r="D305" s="6">
        <f>IFERROR((PPMT(Input!$E$55/12,B305,$C$6,Input!$E$54,-Input!$E$65,0))," ")</f>
        <v>-2150.1140394293525</v>
      </c>
      <c r="E305" s="6">
        <f>IFERROR(((IPMT(Input!$E$55/12,B305,$C$6,Input!$E$54,-Input!$E$65,0)))," ")</f>
        <v>-2013.7194695591616</v>
      </c>
      <c r="F305" s="6">
        <f t="shared" si="49"/>
        <v>-473867.83171134669</v>
      </c>
      <c r="G305" s="6">
        <f t="shared" si="48"/>
        <v>-725316.21887734486</v>
      </c>
      <c r="H305" s="6">
        <f t="shared" si="43"/>
        <v>-4163.833508988514</v>
      </c>
      <c r="I305" s="6">
        <f t="shared" si="44"/>
        <v>1026132.1682886533</v>
      </c>
      <c r="J305" s="6" t="str">
        <f>IF(B305&lt;&gt;"",IF(AND(Input!$H$54="Annual",MOD(B305,12)=0),Input!$J$54,IF(AND(Input!$H$54="1st Installment",B305=1),Input!$J$54,IF(Input!$H$54="Monthly",Input!$J$54,""))),"")</f>
        <v/>
      </c>
      <c r="K305" s="6">
        <f>IF(B305&lt;&gt;"",IF(AND(Input!$H$55="Annual",MOD(B305,12)=0),Input!$J$55,IF(AND(Input!$H$55="1st Installment",B305=1),Input!$J$55,IF(Input!$H$55="Monthly",Input!$J$55,""))),"")</f>
        <v>0</v>
      </c>
      <c r="L305" s="6" t="str">
        <f>IF(B305&lt;&gt;"",IF(AND(Input!$H$56="Annual",MOD(B305,12)=0),Input!$J$56,IF(AND(Input!$H$56="1st Installment",B305=1),Input!$J$56,IF(Input!$H$56="Monthly",Input!$J$56,""))),"")</f>
        <v/>
      </c>
      <c r="M305" s="6" t="str">
        <f>IF(B305&lt;&gt;"",IF(AND(Input!$H$57="Annual",MOD(B305,12)=0),Input!$J$57,IF(AND(Input!$H$57="1st Installment",B305=1),Input!$J$57,IF(Input!$H$57="Monthly",Input!$J$57,""))),"")</f>
        <v/>
      </c>
      <c r="N305" s="6" t="str">
        <f>IF(B305&lt;&gt;"",IF(AND(Input!$H$58="Annual",MOD(B305,12)=0),Input!$J$58,IF(AND(Input!$H$58="1st Installment",B305=1),Input!$J$58,IF(Input!$H$58="Monthly",Input!$J$58,IF(AND(Input!$H$58="End of the loan",B305=Input!$E$58),Input!$J$58,"")))),"")</f>
        <v/>
      </c>
      <c r="O305" s="6">
        <f t="shared" si="40"/>
        <v>0</v>
      </c>
      <c r="P305" s="4">
        <f t="shared" si="41"/>
        <v>4163.833508988514</v>
      </c>
      <c r="T305" s="9">
        <f t="shared" si="42"/>
        <v>53321</v>
      </c>
      <c r="U305" s="5">
        <f t="shared" si="45"/>
        <v>4163.83</v>
      </c>
    </row>
    <row r="306" spans="2:21">
      <c r="B306" s="16">
        <f t="shared" si="46"/>
        <v>289</v>
      </c>
      <c r="C306" s="9">
        <f t="shared" si="47"/>
        <v>53352</v>
      </c>
      <c r="D306" s="6">
        <f>IFERROR((PPMT(Input!$E$55/12,B306,$C$6,Input!$E$54,-Input!$E$65,0))," ")</f>
        <v>-2154.3246794232346</v>
      </c>
      <c r="E306" s="6">
        <f>IFERROR(((IPMT(Input!$E$55/12,B306,$C$6,Input!$E$54,-Input!$E$65,0)))," ")</f>
        <v>-2009.508829565279</v>
      </c>
      <c r="F306" s="6">
        <f t="shared" si="49"/>
        <v>-476022.15639076993</v>
      </c>
      <c r="G306" s="6">
        <f t="shared" si="48"/>
        <v>-727325.72770691011</v>
      </c>
      <c r="H306" s="6">
        <f t="shared" si="43"/>
        <v>-4163.8335089885131</v>
      </c>
      <c r="I306" s="6">
        <f t="shared" si="44"/>
        <v>1023977.8436092301</v>
      </c>
      <c r="J306" s="6" t="str">
        <f>IF(B306&lt;&gt;"",IF(AND(Input!$H$54="Annual",MOD(B306,12)=0),Input!$J$54,IF(AND(Input!$H$54="1st Installment",B306=1),Input!$J$54,IF(Input!$H$54="Monthly",Input!$J$54,""))),"")</f>
        <v/>
      </c>
      <c r="K306" s="6">
        <f>IF(B306&lt;&gt;"",IF(AND(Input!$H$55="Annual",MOD(B306,12)=0),Input!$J$55,IF(AND(Input!$H$55="1st Installment",B306=1),Input!$J$55,IF(Input!$H$55="Monthly",Input!$J$55,""))),"")</f>
        <v>0</v>
      </c>
      <c r="L306" s="6" t="str">
        <f>IF(B306&lt;&gt;"",IF(AND(Input!$H$56="Annual",MOD(B306,12)=0),Input!$J$56,IF(AND(Input!$H$56="1st Installment",B306=1),Input!$J$56,IF(Input!$H$56="Monthly",Input!$J$56,""))),"")</f>
        <v/>
      </c>
      <c r="M306" s="6" t="str">
        <f>IF(B306&lt;&gt;"",IF(AND(Input!$H$57="Annual",MOD(B306,12)=0),Input!$J$57,IF(AND(Input!$H$57="1st Installment",B306=1),Input!$J$57,IF(Input!$H$57="Monthly",Input!$J$57,""))),"")</f>
        <v/>
      </c>
      <c r="N306" s="6" t="str">
        <f>IF(B306&lt;&gt;"",IF(AND(Input!$H$58="Annual",MOD(B306,12)=0),Input!$J$58,IF(AND(Input!$H$58="1st Installment",B306=1),Input!$J$58,IF(Input!$H$58="Monthly",Input!$J$58,IF(AND(Input!$H$58="End of the loan",B306=Input!$E$58),Input!$J$58,"")))),"")</f>
        <v/>
      </c>
      <c r="O306" s="6">
        <f t="shared" si="40"/>
        <v>0</v>
      </c>
      <c r="P306" s="4">
        <f t="shared" si="41"/>
        <v>4163.8335089885131</v>
      </c>
      <c r="T306" s="9">
        <f t="shared" si="42"/>
        <v>53352</v>
      </c>
      <c r="U306" s="5">
        <f t="shared" si="45"/>
        <v>4163.83</v>
      </c>
    </row>
    <row r="307" spans="2:21">
      <c r="B307" s="16">
        <f t="shared" si="46"/>
        <v>290</v>
      </c>
      <c r="C307" s="9">
        <f t="shared" si="47"/>
        <v>53383</v>
      </c>
      <c r="D307" s="6">
        <f>IFERROR((PPMT(Input!$E$55/12,B307,$C$6,Input!$E$54,-Input!$E$65,0))," ")</f>
        <v>-2158.5435652537717</v>
      </c>
      <c r="E307" s="6">
        <f>IFERROR(((IPMT(Input!$E$55/12,B307,$C$6,Input!$E$54,-Input!$E$65,0)))," ")</f>
        <v>-2005.2899437347419</v>
      </c>
      <c r="F307" s="6">
        <f t="shared" si="49"/>
        <v>-478180.69995602372</v>
      </c>
      <c r="G307" s="6">
        <f t="shared" si="48"/>
        <v>-729331.01765064488</v>
      </c>
      <c r="H307" s="6">
        <f t="shared" si="43"/>
        <v>-4163.8335089885131</v>
      </c>
      <c r="I307" s="6">
        <f t="shared" si="44"/>
        <v>1021819.3000439763</v>
      </c>
      <c r="J307" s="6" t="str">
        <f>IF(B307&lt;&gt;"",IF(AND(Input!$H$54="Annual",MOD(B307,12)=0),Input!$J$54,IF(AND(Input!$H$54="1st Installment",B307=1),Input!$J$54,IF(Input!$H$54="Monthly",Input!$J$54,""))),"")</f>
        <v/>
      </c>
      <c r="K307" s="6">
        <f>IF(B307&lt;&gt;"",IF(AND(Input!$H$55="Annual",MOD(B307,12)=0),Input!$J$55,IF(AND(Input!$H$55="1st Installment",B307=1),Input!$J$55,IF(Input!$H$55="Monthly",Input!$J$55,""))),"")</f>
        <v>0</v>
      </c>
      <c r="L307" s="6" t="str">
        <f>IF(B307&lt;&gt;"",IF(AND(Input!$H$56="Annual",MOD(B307,12)=0),Input!$J$56,IF(AND(Input!$H$56="1st Installment",B307=1),Input!$J$56,IF(Input!$H$56="Monthly",Input!$J$56,""))),"")</f>
        <v/>
      </c>
      <c r="M307" s="6" t="str">
        <f>IF(B307&lt;&gt;"",IF(AND(Input!$H$57="Annual",MOD(B307,12)=0),Input!$J$57,IF(AND(Input!$H$57="1st Installment",B307=1),Input!$J$57,IF(Input!$H$57="Monthly",Input!$J$57,""))),"")</f>
        <v/>
      </c>
      <c r="N307" s="6" t="str">
        <f>IF(B307&lt;&gt;"",IF(AND(Input!$H$58="Annual",MOD(B307,12)=0),Input!$J$58,IF(AND(Input!$H$58="1st Installment",B307=1),Input!$J$58,IF(Input!$H$58="Monthly",Input!$J$58,IF(AND(Input!$H$58="End of the loan",B307=Input!$E$58),Input!$J$58,"")))),"")</f>
        <v/>
      </c>
      <c r="O307" s="6">
        <f t="shared" si="40"/>
        <v>0</v>
      </c>
      <c r="P307" s="4">
        <f t="shared" si="41"/>
        <v>4163.8335089885131</v>
      </c>
      <c r="T307" s="9">
        <f t="shared" si="42"/>
        <v>53383</v>
      </c>
      <c r="U307" s="5">
        <f t="shared" si="45"/>
        <v>4163.83</v>
      </c>
    </row>
    <row r="308" spans="2:21">
      <c r="B308" s="16">
        <f t="shared" si="46"/>
        <v>291</v>
      </c>
      <c r="C308" s="9">
        <f t="shared" si="47"/>
        <v>53411</v>
      </c>
      <c r="D308" s="6">
        <f>IFERROR((PPMT(Input!$E$55/12,B308,$C$6,Input!$E$54,-Input!$E$65,0))," ")</f>
        <v>-2162.7707130690605</v>
      </c>
      <c r="E308" s="6">
        <f>IFERROR(((IPMT(Input!$E$55/12,B308,$C$6,Input!$E$54,-Input!$E$65,0)))," ")</f>
        <v>-2001.0627959194533</v>
      </c>
      <c r="F308" s="6">
        <f t="shared" si="49"/>
        <v>-480343.47066909279</v>
      </c>
      <c r="G308" s="6">
        <f t="shared" si="48"/>
        <v>-731332.08044656436</v>
      </c>
      <c r="H308" s="6">
        <f t="shared" si="43"/>
        <v>-4163.833508988514</v>
      </c>
      <c r="I308" s="6">
        <f t="shared" si="44"/>
        <v>1019656.5293309072</v>
      </c>
      <c r="J308" s="6" t="str">
        <f>IF(B308&lt;&gt;"",IF(AND(Input!$H$54="Annual",MOD(B308,12)=0),Input!$J$54,IF(AND(Input!$H$54="1st Installment",B308=1),Input!$J$54,IF(Input!$H$54="Monthly",Input!$J$54,""))),"")</f>
        <v/>
      </c>
      <c r="K308" s="6">
        <f>IF(B308&lt;&gt;"",IF(AND(Input!$H$55="Annual",MOD(B308,12)=0),Input!$J$55,IF(AND(Input!$H$55="1st Installment",B308=1),Input!$J$55,IF(Input!$H$55="Monthly",Input!$J$55,""))),"")</f>
        <v>0</v>
      </c>
      <c r="L308" s="6" t="str">
        <f>IF(B308&lt;&gt;"",IF(AND(Input!$H$56="Annual",MOD(B308,12)=0),Input!$J$56,IF(AND(Input!$H$56="1st Installment",B308=1),Input!$J$56,IF(Input!$H$56="Monthly",Input!$J$56,""))),"")</f>
        <v/>
      </c>
      <c r="M308" s="6" t="str">
        <f>IF(B308&lt;&gt;"",IF(AND(Input!$H$57="Annual",MOD(B308,12)=0),Input!$J$57,IF(AND(Input!$H$57="1st Installment",B308=1),Input!$J$57,IF(Input!$H$57="Monthly",Input!$J$57,""))),"")</f>
        <v/>
      </c>
      <c r="N308" s="6" t="str">
        <f>IF(B308&lt;&gt;"",IF(AND(Input!$H$58="Annual",MOD(B308,12)=0),Input!$J$58,IF(AND(Input!$H$58="1st Installment",B308=1),Input!$J$58,IF(Input!$H$58="Monthly",Input!$J$58,IF(AND(Input!$H$58="End of the loan",B308=Input!$E$58),Input!$J$58,"")))),"")</f>
        <v/>
      </c>
      <c r="O308" s="6">
        <f t="shared" si="40"/>
        <v>0</v>
      </c>
      <c r="P308" s="4">
        <f t="shared" si="41"/>
        <v>4163.833508988514</v>
      </c>
      <c r="T308" s="9">
        <f t="shared" si="42"/>
        <v>53411</v>
      </c>
      <c r="U308" s="5">
        <f t="shared" si="45"/>
        <v>4163.83</v>
      </c>
    </row>
    <row r="309" spans="2:21">
      <c r="B309" s="16">
        <f t="shared" si="46"/>
        <v>292</v>
      </c>
      <c r="C309" s="9">
        <f t="shared" si="47"/>
        <v>53442</v>
      </c>
      <c r="D309" s="6">
        <f>IFERROR((PPMT(Input!$E$55/12,B309,$C$6,Input!$E$54,-Input!$E$65,0))," ")</f>
        <v>-2167.0061390488208</v>
      </c>
      <c r="E309" s="6">
        <f>IFERROR(((IPMT(Input!$E$55/12,B309,$C$6,Input!$E$54,-Input!$E$65,0)))," ")</f>
        <v>-1996.827369939693</v>
      </c>
      <c r="F309" s="6">
        <f t="shared" si="49"/>
        <v>-482510.47680814163</v>
      </c>
      <c r="G309" s="6">
        <f t="shared" si="48"/>
        <v>-733328.90781650401</v>
      </c>
      <c r="H309" s="6">
        <f t="shared" si="43"/>
        <v>-4163.833508988514</v>
      </c>
      <c r="I309" s="6">
        <f t="shared" si="44"/>
        <v>1017489.5231918583</v>
      </c>
      <c r="J309" s="6" t="str">
        <f>IF(B309&lt;&gt;"",IF(AND(Input!$H$54="Annual",MOD(B309,12)=0),Input!$J$54,IF(AND(Input!$H$54="1st Installment",B309=1),Input!$J$54,IF(Input!$H$54="Monthly",Input!$J$54,""))),"")</f>
        <v/>
      </c>
      <c r="K309" s="6">
        <f>IF(B309&lt;&gt;"",IF(AND(Input!$H$55="Annual",MOD(B309,12)=0),Input!$J$55,IF(AND(Input!$H$55="1st Installment",B309=1),Input!$J$55,IF(Input!$H$55="Monthly",Input!$J$55,""))),"")</f>
        <v>0</v>
      </c>
      <c r="L309" s="6" t="str">
        <f>IF(B309&lt;&gt;"",IF(AND(Input!$H$56="Annual",MOD(B309,12)=0),Input!$J$56,IF(AND(Input!$H$56="1st Installment",B309=1),Input!$J$56,IF(Input!$H$56="Monthly",Input!$J$56,""))),"")</f>
        <v/>
      </c>
      <c r="M309" s="6" t="str">
        <f>IF(B309&lt;&gt;"",IF(AND(Input!$H$57="Annual",MOD(B309,12)=0),Input!$J$57,IF(AND(Input!$H$57="1st Installment",B309=1),Input!$J$57,IF(Input!$H$57="Monthly",Input!$J$57,""))),"")</f>
        <v/>
      </c>
      <c r="N309" s="6" t="str">
        <f>IF(B309&lt;&gt;"",IF(AND(Input!$H$58="Annual",MOD(B309,12)=0),Input!$J$58,IF(AND(Input!$H$58="1st Installment",B309=1),Input!$J$58,IF(Input!$H$58="Monthly",Input!$J$58,IF(AND(Input!$H$58="End of the loan",B309=Input!$E$58),Input!$J$58,"")))),"")</f>
        <v/>
      </c>
      <c r="O309" s="6">
        <f t="shared" si="40"/>
        <v>0</v>
      </c>
      <c r="P309" s="4">
        <f t="shared" si="41"/>
        <v>4163.833508988514</v>
      </c>
      <c r="T309" s="9">
        <f t="shared" si="42"/>
        <v>53442</v>
      </c>
      <c r="U309" s="5">
        <f t="shared" si="45"/>
        <v>4163.83</v>
      </c>
    </row>
    <row r="310" spans="2:21">
      <c r="B310" s="16">
        <f t="shared" si="46"/>
        <v>293</v>
      </c>
      <c r="C310" s="9">
        <f t="shared" si="47"/>
        <v>53472</v>
      </c>
      <c r="D310" s="6">
        <f>IFERROR((PPMT(Input!$E$55/12,B310,$C$6,Input!$E$54,-Input!$E$65,0))," ")</f>
        <v>-2171.2498594044578</v>
      </c>
      <c r="E310" s="6">
        <f>IFERROR(((IPMT(Input!$E$55/12,B310,$C$6,Input!$E$54,-Input!$E$65,0)))," ")</f>
        <v>-1992.5836495840558</v>
      </c>
      <c r="F310" s="6">
        <f t="shared" si="49"/>
        <v>-484681.72666754609</v>
      </c>
      <c r="G310" s="6">
        <f t="shared" si="48"/>
        <v>-735321.4914660881</v>
      </c>
      <c r="H310" s="6">
        <f t="shared" si="43"/>
        <v>-4163.8335089885131</v>
      </c>
      <c r="I310" s="6">
        <f t="shared" si="44"/>
        <v>1015318.2733324539</v>
      </c>
      <c r="J310" s="6" t="str">
        <f>IF(B310&lt;&gt;"",IF(AND(Input!$H$54="Annual",MOD(B310,12)=0),Input!$J$54,IF(AND(Input!$H$54="1st Installment",B310=1),Input!$J$54,IF(Input!$H$54="Monthly",Input!$J$54,""))),"")</f>
        <v/>
      </c>
      <c r="K310" s="6">
        <f>IF(B310&lt;&gt;"",IF(AND(Input!$H$55="Annual",MOD(B310,12)=0),Input!$J$55,IF(AND(Input!$H$55="1st Installment",B310=1),Input!$J$55,IF(Input!$H$55="Monthly",Input!$J$55,""))),"")</f>
        <v>0</v>
      </c>
      <c r="L310" s="6" t="str">
        <f>IF(B310&lt;&gt;"",IF(AND(Input!$H$56="Annual",MOD(B310,12)=0),Input!$J$56,IF(AND(Input!$H$56="1st Installment",B310=1),Input!$J$56,IF(Input!$H$56="Monthly",Input!$J$56,""))),"")</f>
        <v/>
      </c>
      <c r="M310" s="6" t="str">
        <f>IF(B310&lt;&gt;"",IF(AND(Input!$H$57="Annual",MOD(B310,12)=0),Input!$J$57,IF(AND(Input!$H$57="1st Installment",B310=1),Input!$J$57,IF(Input!$H$57="Monthly",Input!$J$57,""))),"")</f>
        <v/>
      </c>
      <c r="N310" s="6" t="str">
        <f>IF(B310&lt;&gt;"",IF(AND(Input!$H$58="Annual",MOD(B310,12)=0),Input!$J$58,IF(AND(Input!$H$58="1st Installment",B310=1),Input!$J$58,IF(Input!$H$58="Monthly",Input!$J$58,IF(AND(Input!$H$58="End of the loan",B310=Input!$E$58),Input!$J$58,"")))),"")</f>
        <v/>
      </c>
      <c r="O310" s="6">
        <f t="shared" si="40"/>
        <v>0</v>
      </c>
      <c r="P310" s="4">
        <f t="shared" si="41"/>
        <v>4163.8335089885131</v>
      </c>
      <c r="T310" s="9">
        <f t="shared" si="42"/>
        <v>53472</v>
      </c>
      <c r="U310" s="5">
        <f t="shared" si="45"/>
        <v>4163.83</v>
      </c>
    </row>
    <row r="311" spans="2:21">
      <c r="B311" s="16">
        <f t="shared" si="46"/>
        <v>294</v>
      </c>
      <c r="C311" s="9">
        <f t="shared" si="47"/>
        <v>53503</v>
      </c>
      <c r="D311" s="6">
        <f>IFERROR((PPMT(Input!$E$55/12,B311,$C$6,Input!$E$54,-Input!$E$65,0))," ")</f>
        <v>-2175.5018903791251</v>
      </c>
      <c r="E311" s="6">
        <f>IFERROR(((IPMT(Input!$E$55/12,B311,$C$6,Input!$E$54,-Input!$E$65,0)))," ")</f>
        <v>-1988.3316186093887</v>
      </c>
      <c r="F311" s="6">
        <f t="shared" si="49"/>
        <v>-486857.22855792521</v>
      </c>
      <c r="G311" s="6">
        <f t="shared" si="48"/>
        <v>-737309.82308469748</v>
      </c>
      <c r="H311" s="6">
        <f t="shared" si="43"/>
        <v>-4163.833508988514</v>
      </c>
      <c r="I311" s="6">
        <f t="shared" si="44"/>
        <v>1013142.7714420748</v>
      </c>
      <c r="J311" s="6" t="str">
        <f>IF(B311&lt;&gt;"",IF(AND(Input!$H$54="Annual",MOD(B311,12)=0),Input!$J$54,IF(AND(Input!$H$54="1st Installment",B311=1),Input!$J$54,IF(Input!$H$54="Monthly",Input!$J$54,""))),"")</f>
        <v/>
      </c>
      <c r="K311" s="6">
        <f>IF(B311&lt;&gt;"",IF(AND(Input!$H$55="Annual",MOD(B311,12)=0),Input!$J$55,IF(AND(Input!$H$55="1st Installment",B311=1),Input!$J$55,IF(Input!$H$55="Monthly",Input!$J$55,""))),"")</f>
        <v>0</v>
      </c>
      <c r="L311" s="6" t="str">
        <f>IF(B311&lt;&gt;"",IF(AND(Input!$H$56="Annual",MOD(B311,12)=0),Input!$J$56,IF(AND(Input!$H$56="1st Installment",B311=1),Input!$J$56,IF(Input!$H$56="Monthly",Input!$J$56,""))),"")</f>
        <v/>
      </c>
      <c r="M311" s="6" t="str">
        <f>IF(B311&lt;&gt;"",IF(AND(Input!$H$57="Annual",MOD(B311,12)=0),Input!$J$57,IF(AND(Input!$H$57="1st Installment",B311=1),Input!$J$57,IF(Input!$H$57="Monthly",Input!$J$57,""))),"")</f>
        <v/>
      </c>
      <c r="N311" s="6" t="str">
        <f>IF(B311&lt;&gt;"",IF(AND(Input!$H$58="Annual",MOD(B311,12)=0),Input!$J$58,IF(AND(Input!$H$58="1st Installment",B311=1),Input!$J$58,IF(Input!$H$58="Monthly",Input!$J$58,IF(AND(Input!$H$58="End of the loan",B311=Input!$E$58),Input!$J$58,"")))),"")</f>
        <v/>
      </c>
      <c r="O311" s="6">
        <f t="shared" si="40"/>
        <v>0</v>
      </c>
      <c r="P311" s="4">
        <f t="shared" si="41"/>
        <v>4163.833508988514</v>
      </c>
      <c r="T311" s="9">
        <f t="shared" si="42"/>
        <v>53503</v>
      </c>
      <c r="U311" s="5">
        <f t="shared" si="45"/>
        <v>4163.83</v>
      </c>
    </row>
    <row r="312" spans="2:21">
      <c r="B312" s="16">
        <f t="shared" si="46"/>
        <v>295</v>
      </c>
      <c r="C312" s="9">
        <f t="shared" si="47"/>
        <v>53533</v>
      </c>
      <c r="D312" s="6">
        <f>IFERROR((PPMT(Input!$E$55/12,B312,$C$6,Input!$E$54,-Input!$E$65,0))," ")</f>
        <v>-2179.7622482477841</v>
      </c>
      <c r="E312" s="6">
        <f>IFERROR(((IPMT(Input!$E$55/12,B312,$C$6,Input!$E$54,-Input!$E$65,0)))," ")</f>
        <v>-1984.0712607407297</v>
      </c>
      <c r="F312" s="6">
        <f t="shared" si="49"/>
        <v>-489036.99080617301</v>
      </c>
      <c r="G312" s="6">
        <f t="shared" si="48"/>
        <v>-739293.89434543822</v>
      </c>
      <c r="H312" s="6">
        <f t="shared" si="43"/>
        <v>-4163.833508988514</v>
      </c>
      <c r="I312" s="6">
        <f t="shared" si="44"/>
        <v>1010963.0091938269</v>
      </c>
      <c r="J312" s="6" t="str">
        <f>IF(B312&lt;&gt;"",IF(AND(Input!$H$54="Annual",MOD(B312,12)=0),Input!$J$54,IF(AND(Input!$H$54="1st Installment",B312=1),Input!$J$54,IF(Input!$H$54="Monthly",Input!$J$54,""))),"")</f>
        <v/>
      </c>
      <c r="K312" s="6">
        <f>IF(B312&lt;&gt;"",IF(AND(Input!$H$55="Annual",MOD(B312,12)=0),Input!$J$55,IF(AND(Input!$H$55="1st Installment",B312=1),Input!$J$55,IF(Input!$H$55="Monthly",Input!$J$55,""))),"")</f>
        <v>0</v>
      </c>
      <c r="L312" s="6" t="str">
        <f>IF(B312&lt;&gt;"",IF(AND(Input!$H$56="Annual",MOD(B312,12)=0),Input!$J$56,IF(AND(Input!$H$56="1st Installment",B312=1),Input!$J$56,IF(Input!$H$56="Monthly",Input!$J$56,""))),"")</f>
        <v/>
      </c>
      <c r="M312" s="6" t="str">
        <f>IF(B312&lt;&gt;"",IF(AND(Input!$H$57="Annual",MOD(B312,12)=0),Input!$J$57,IF(AND(Input!$H$57="1st Installment",B312=1),Input!$J$57,IF(Input!$H$57="Monthly",Input!$J$57,""))),"")</f>
        <v/>
      </c>
      <c r="N312" s="6" t="str">
        <f>IF(B312&lt;&gt;"",IF(AND(Input!$H$58="Annual",MOD(B312,12)=0),Input!$J$58,IF(AND(Input!$H$58="1st Installment",B312=1),Input!$J$58,IF(Input!$H$58="Monthly",Input!$J$58,IF(AND(Input!$H$58="End of the loan",B312=Input!$E$58),Input!$J$58,"")))),"")</f>
        <v/>
      </c>
      <c r="O312" s="6">
        <f t="shared" si="40"/>
        <v>0</v>
      </c>
      <c r="P312" s="4">
        <f t="shared" si="41"/>
        <v>4163.833508988514</v>
      </c>
      <c r="T312" s="9">
        <f t="shared" si="42"/>
        <v>53533</v>
      </c>
      <c r="U312" s="5">
        <f t="shared" si="45"/>
        <v>4163.83</v>
      </c>
    </row>
    <row r="313" spans="2:21">
      <c r="B313" s="16">
        <f t="shared" si="46"/>
        <v>296</v>
      </c>
      <c r="C313" s="9">
        <f t="shared" si="47"/>
        <v>53564</v>
      </c>
      <c r="D313" s="6">
        <f>IFERROR((PPMT(Input!$E$55/12,B313,$C$6,Input!$E$54,-Input!$E$65,0))," ")</f>
        <v>-2184.0309493172695</v>
      </c>
      <c r="E313" s="6">
        <f>IFERROR(((IPMT(Input!$E$55/12,B313,$C$6,Input!$E$54,-Input!$E$65,0)))," ")</f>
        <v>-1979.8025596712444</v>
      </c>
      <c r="F313" s="6">
        <f t="shared" si="49"/>
        <v>-491221.02175549028</v>
      </c>
      <c r="G313" s="6">
        <f t="shared" si="48"/>
        <v>-741273.69690510945</v>
      </c>
      <c r="H313" s="6">
        <f t="shared" si="43"/>
        <v>-4163.833508988514</v>
      </c>
      <c r="I313" s="6">
        <f t="shared" si="44"/>
        <v>1008778.9782445098</v>
      </c>
      <c r="J313" s="6" t="str">
        <f>IF(B313&lt;&gt;"",IF(AND(Input!$H$54="Annual",MOD(B313,12)=0),Input!$J$54,IF(AND(Input!$H$54="1st Installment",B313=1),Input!$J$54,IF(Input!$H$54="Monthly",Input!$J$54,""))),"")</f>
        <v/>
      </c>
      <c r="K313" s="6">
        <f>IF(B313&lt;&gt;"",IF(AND(Input!$H$55="Annual",MOD(B313,12)=0),Input!$J$55,IF(AND(Input!$H$55="1st Installment",B313=1),Input!$J$55,IF(Input!$H$55="Monthly",Input!$J$55,""))),"")</f>
        <v>0</v>
      </c>
      <c r="L313" s="6" t="str">
        <f>IF(B313&lt;&gt;"",IF(AND(Input!$H$56="Annual",MOD(B313,12)=0),Input!$J$56,IF(AND(Input!$H$56="1st Installment",B313=1),Input!$J$56,IF(Input!$H$56="Monthly",Input!$J$56,""))),"")</f>
        <v/>
      </c>
      <c r="M313" s="6" t="str">
        <f>IF(B313&lt;&gt;"",IF(AND(Input!$H$57="Annual",MOD(B313,12)=0),Input!$J$57,IF(AND(Input!$H$57="1st Installment",B313=1),Input!$J$57,IF(Input!$H$57="Monthly",Input!$J$57,""))),"")</f>
        <v/>
      </c>
      <c r="N313" s="6" t="str">
        <f>IF(B313&lt;&gt;"",IF(AND(Input!$H$58="Annual",MOD(B313,12)=0),Input!$J$58,IF(AND(Input!$H$58="1st Installment",B313=1),Input!$J$58,IF(Input!$H$58="Monthly",Input!$J$58,IF(AND(Input!$H$58="End of the loan",B313=Input!$E$58),Input!$J$58,"")))),"")</f>
        <v/>
      </c>
      <c r="O313" s="6">
        <f t="shared" si="40"/>
        <v>0</v>
      </c>
      <c r="P313" s="4">
        <f t="shared" si="41"/>
        <v>4163.833508988514</v>
      </c>
      <c r="T313" s="9">
        <f t="shared" si="42"/>
        <v>53564</v>
      </c>
      <c r="U313" s="5">
        <f t="shared" si="45"/>
        <v>4163.83</v>
      </c>
    </row>
    <row r="314" spans="2:21">
      <c r="B314" s="16">
        <f t="shared" si="46"/>
        <v>297</v>
      </c>
      <c r="C314" s="9">
        <f t="shared" si="47"/>
        <v>53595</v>
      </c>
      <c r="D314" s="6">
        <f>IFERROR((PPMT(Input!$E$55/12,B314,$C$6,Input!$E$54,-Input!$E$65,0))," ")</f>
        <v>-2188.3080099263489</v>
      </c>
      <c r="E314" s="6">
        <f>IFERROR(((IPMT(Input!$E$55/12,B314,$C$6,Input!$E$54,-Input!$E$65,0)))," ")</f>
        <v>-1975.5254990621647</v>
      </c>
      <c r="F314" s="6">
        <f t="shared" si="49"/>
        <v>-493409.32976541662</v>
      </c>
      <c r="G314" s="6">
        <f t="shared" si="48"/>
        <v>-743249.2224041716</v>
      </c>
      <c r="H314" s="6">
        <f t="shared" si="43"/>
        <v>-4163.8335089885131</v>
      </c>
      <c r="I314" s="6">
        <f t="shared" si="44"/>
        <v>1006590.6702345833</v>
      </c>
      <c r="J314" s="6" t="str">
        <f>IF(B314&lt;&gt;"",IF(AND(Input!$H$54="Annual",MOD(B314,12)=0),Input!$J$54,IF(AND(Input!$H$54="1st Installment",B314=1),Input!$J$54,IF(Input!$H$54="Monthly",Input!$J$54,""))),"")</f>
        <v/>
      </c>
      <c r="K314" s="6">
        <f>IF(B314&lt;&gt;"",IF(AND(Input!$H$55="Annual",MOD(B314,12)=0),Input!$J$55,IF(AND(Input!$H$55="1st Installment",B314=1),Input!$J$55,IF(Input!$H$55="Monthly",Input!$J$55,""))),"")</f>
        <v>0</v>
      </c>
      <c r="L314" s="6" t="str">
        <f>IF(B314&lt;&gt;"",IF(AND(Input!$H$56="Annual",MOD(B314,12)=0),Input!$J$56,IF(AND(Input!$H$56="1st Installment",B314=1),Input!$J$56,IF(Input!$H$56="Monthly",Input!$J$56,""))),"")</f>
        <v/>
      </c>
      <c r="M314" s="6" t="str">
        <f>IF(B314&lt;&gt;"",IF(AND(Input!$H$57="Annual",MOD(B314,12)=0),Input!$J$57,IF(AND(Input!$H$57="1st Installment",B314=1),Input!$J$57,IF(Input!$H$57="Monthly",Input!$J$57,""))),"")</f>
        <v/>
      </c>
      <c r="N314" s="6" t="str">
        <f>IF(B314&lt;&gt;"",IF(AND(Input!$H$58="Annual",MOD(B314,12)=0),Input!$J$58,IF(AND(Input!$H$58="1st Installment",B314=1),Input!$J$58,IF(Input!$H$58="Monthly",Input!$J$58,IF(AND(Input!$H$58="End of the loan",B314=Input!$E$58),Input!$J$58,"")))),"")</f>
        <v/>
      </c>
      <c r="O314" s="6">
        <f t="shared" si="40"/>
        <v>0</v>
      </c>
      <c r="P314" s="4">
        <f t="shared" si="41"/>
        <v>4163.8335089885131</v>
      </c>
      <c r="T314" s="9">
        <f t="shared" si="42"/>
        <v>53595</v>
      </c>
      <c r="U314" s="5">
        <f t="shared" si="45"/>
        <v>4163.83</v>
      </c>
    </row>
    <row r="315" spans="2:21">
      <c r="B315" s="16">
        <f t="shared" si="46"/>
        <v>298</v>
      </c>
      <c r="C315" s="9">
        <f t="shared" si="47"/>
        <v>53625</v>
      </c>
      <c r="D315" s="6">
        <f>IFERROR((PPMT(Input!$E$55/12,B315,$C$6,Input!$E$54,-Input!$E$65,0))," ")</f>
        <v>-2192.5934464457882</v>
      </c>
      <c r="E315" s="6">
        <f>IFERROR(((IPMT(Input!$E$55/12,B315,$C$6,Input!$E$54,-Input!$E$65,0)))," ")</f>
        <v>-1971.2400625427256</v>
      </c>
      <c r="F315" s="6">
        <f t="shared" si="49"/>
        <v>-495601.92321186239</v>
      </c>
      <c r="G315" s="6">
        <f t="shared" si="48"/>
        <v>-745220.46246671432</v>
      </c>
      <c r="H315" s="6">
        <f t="shared" si="43"/>
        <v>-4163.833508988514</v>
      </c>
      <c r="I315" s="6">
        <f t="shared" si="44"/>
        <v>1004398.0767881377</v>
      </c>
      <c r="J315" s="6" t="str">
        <f>IF(B315&lt;&gt;"",IF(AND(Input!$H$54="Annual",MOD(B315,12)=0),Input!$J$54,IF(AND(Input!$H$54="1st Installment",B315=1),Input!$J$54,IF(Input!$H$54="Monthly",Input!$J$54,""))),"")</f>
        <v/>
      </c>
      <c r="K315" s="6">
        <f>IF(B315&lt;&gt;"",IF(AND(Input!$H$55="Annual",MOD(B315,12)=0),Input!$J$55,IF(AND(Input!$H$55="1st Installment",B315=1),Input!$J$55,IF(Input!$H$55="Monthly",Input!$J$55,""))),"")</f>
        <v>0</v>
      </c>
      <c r="L315" s="6" t="str">
        <f>IF(B315&lt;&gt;"",IF(AND(Input!$H$56="Annual",MOD(B315,12)=0),Input!$J$56,IF(AND(Input!$H$56="1st Installment",B315=1),Input!$J$56,IF(Input!$H$56="Monthly",Input!$J$56,""))),"")</f>
        <v/>
      </c>
      <c r="M315" s="6" t="str">
        <f>IF(B315&lt;&gt;"",IF(AND(Input!$H$57="Annual",MOD(B315,12)=0),Input!$J$57,IF(AND(Input!$H$57="1st Installment",B315=1),Input!$J$57,IF(Input!$H$57="Monthly",Input!$J$57,""))),"")</f>
        <v/>
      </c>
      <c r="N315" s="6" t="str">
        <f>IF(B315&lt;&gt;"",IF(AND(Input!$H$58="Annual",MOD(B315,12)=0),Input!$J$58,IF(AND(Input!$H$58="1st Installment",B315=1),Input!$J$58,IF(Input!$H$58="Monthly",Input!$J$58,IF(AND(Input!$H$58="End of the loan",B315=Input!$E$58),Input!$J$58,"")))),"")</f>
        <v/>
      </c>
      <c r="O315" s="6">
        <f t="shared" si="40"/>
        <v>0</v>
      </c>
      <c r="P315" s="4">
        <f t="shared" si="41"/>
        <v>4163.833508988514</v>
      </c>
      <c r="T315" s="9">
        <f t="shared" si="42"/>
        <v>53625</v>
      </c>
      <c r="U315" s="5">
        <f t="shared" si="45"/>
        <v>4163.83</v>
      </c>
    </row>
    <row r="316" spans="2:21">
      <c r="B316" s="16">
        <f t="shared" si="46"/>
        <v>299</v>
      </c>
      <c r="C316" s="9">
        <f t="shared" si="47"/>
        <v>53656</v>
      </c>
      <c r="D316" s="6">
        <f>IFERROR((PPMT(Input!$E$55/12,B316,$C$6,Input!$E$54,-Input!$E$65,0))," ")</f>
        <v>-2196.8872752784109</v>
      </c>
      <c r="E316" s="6">
        <f>IFERROR(((IPMT(Input!$E$55/12,B316,$C$6,Input!$E$54,-Input!$E$65,0)))," ")</f>
        <v>-1966.9462337101027</v>
      </c>
      <c r="F316" s="6">
        <f t="shared" si="49"/>
        <v>-497798.81048714078</v>
      </c>
      <c r="G316" s="6">
        <f t="shared" si="48"/>
        <v>-747187.40870042448</v>
      </c>
      <c r="H316" s="6">
        <f t="shared" si="43"/>
        <v>-4163.8335089885131</v>
      </c>
      <c r="I316" s="6">
        <f t="shared" si="44"/>
        <v>1002201.1895128592</v>
      </c>
      <c r="J316" s="6" t="str">
        <f>IF(B316&lt;&gt;"",IF(AND(Input!$H$54="Annual",MOD(B316,12)=0),Input!$J$54,IF(AND(Input!$H$54="1st Installment",B316=1),Input!$J$54,IF(Input!$H$54="Monthly",Input!$J$54,""))),"")</f>
        <v/>
      </c>
      <c r="K316" s="6">
        <f>IF(B316&lt;&gt;"",IF(AND(Input!$H$55="Annual",MOD(B316,12)=0),Input!$J$55,IF(AND(Input!$H$55="1st Installment",B316=1),Input!$J$55,IF(Input!$H$55="Monthly",Input!$J$55,""))),"")</f>
        <v>0</v>
      </c>
      <c r="L316" s="6" t="str">
        <f>IF(B316&lt;&gt;"",IF(AND(Input!$H$56="Annual",MOD(B316,12)=0),Input!$J$56,IF(AND(Input!$H$56="1st Installment",B316=1),Input!$J$56,IF(Input!$H$56="Monthly",Input!$J$56,""))),"")</f>
        <v/>
      </c>
      <c r="M316" s="6" t="str">
        <f>IF(B316&lt;&gt;"",IF(AND(Input!$H$57="Annual",MOD(B316,12)=0),Input!$J$57,IF(AND(Input!$H$57="1st Installment",B316=1),Input!$J$57,IF(Input!$H$57="Monthly",Input!$J$57,""))),"")</f>
        <v/>
      </c>
      <c r="N316" s="6" t="str">
        <f>IF(B316&lt;&gt;"",IF(AND(Input!$H$58="Annual",MOD(B316,12)=0),Input!$J$58,IF(AND(Input!$H$58="1st Installment",B316=1),Input!$J$58,IF(Input!$H$58="Monthly",Input!$J$58,IF(AND(Input!$H$58="End of the loan",B316=Input!$E$58),Input!$J$58,"")))),"")</f>
        <v/>
      </c>
      <c r="O316" s="6">
        <f t="shared" si="40"/>
        <v>0</v>
      </c>
      <c r="P316" s="4">
        <f t="shared" si="41"/>
        <v>4163.8335089885131</v>
      </c>
      <c r="T316" s="9">
        <f t="shared" si="42"/>
        <v>53656</v>
      </c>
      <c r="U316" s="5">
        <f t="shared" si="45"/>
        <v>4163.83</v>
      </c>
    </row>
    <row r="317" spans="2:21">
      <c r="B317" s="16">
        <f t="shared" si="46"/>
        <v>300</v>
      </c>
      <c r="C317" s="9">
        <f t="shared" si="47"/>
        <v>53686</v>
      </c>
      <c r="D317" s="6">
        <f>IFERROR((PPMT(Input!$E$55/12,B317,$C$6,Input!$E$54,-Input!$E$65,0))," ")</f>
        <v>-2201.1895128591646</v>
      </c>
      <c r="E317" s="6">
        <f>IFERROR(((IPMT(Input!$E$55/12,B317,$C$6,Input!$E$54,-Input!$E$65,0)))," ")</f>
        <v>-1962.6439961293493</v>
      </c>
      <c r="F317" s="6">
        <f t="shared" si="49"/>
        <v>-499999.99999999994</v>
      </c>
      <c r="G317" s="6">
        <f t="shared" si="48"/>
        <v>-749150.05269655387</v>
      </c>
      <c r="H317" s="6">
        <f t="shared" si="43"/>
        <v>-4163.833508988514</v>
      </c>
      <c r="I317" s="6">
        <f t="shared" si="44"/>
        <v>1000000</v>
      </c>
      <c r="J317" s="6" t="str">
        <f>IF(B317&lt;&gt;"",IF(AND(Input!$H$54="Annual",MOD(B317,12)=0),Input!$J$54,IF(AND(Input!$H$54="1st Installment",B317=1),Input!$J$54,IF(Input!$H$54="Monthly",Input!$J$54,""))),"")</f>
        <v/>
      </c>
      <c r="K317" s="6">
        <f>IF(B317&lt;&gt;"",IF(AND(Input!$H$55="Annual",MOD(B317,12)=0),Input!$J$55,IF(AND(Input!$H$55="1st Installment",B317=1),Input!$J$55,IF(Input!$H$55="Monthly",Input!$J$55,""))),"")</f>
        <v>0</v>
      </c>
      <c r="L317" s="6" t="str">
        <f>IF(B317&lt;&gt;"",IF(AND(Input!$H$56="Annual",MOD(B317,12)=0),Input!$J$56,IF(AND(Input!$H$56="1st Installment",B317=1),Input!$J$56,IF(Input!$H$56="Monthly",Input!$J$56,""))),"")</f>
        <v/>
      </c>
      <c r="M317" s="6" t="str">
        <f>IF(B317&lt;&gt;"",IF(AND(Input!$H$57="Annual",MOD(B317,12)=0),Input!$J$57,IF(AND(Input!$H$57="1st Installment",B317=1),Input!$J$57,IF(Input!$H$57="Monthly",Input!$J$57,""))),"")</f>
        <v/>
      </c>
      <c r="N317" s="6" t="str">
        <f>IF(B317&lt;&gt;"",IF(AND(Input!$H$58="Annual",MOD(B317,12)=0),Input!$J$58,IF(AND(Input!$H$58="1st Installment",B317=1),Input!$J$58,IF(Input!$H$58="Monthly",Input!$J$58,IF(AND(Input!$H$58="End of the loan",B317=Input!$E$58),Input!$J$58,"")))),"")</f>
        <v/>
      </c>
      <c r="O317" s="6">
        <f t="shared" si="40"/>
        <v>0</v>
      </c>
      <c r="P317" s="4">
        <f t="shared" si="41"/>
        <v>4163.833508988514</v>
      </c>
      <c r="T317" s="9">
        <f t="shared" si="42"/>
        <v>53686</v>
      </c>
      <c r="U317" s="5">
        <f t="shared" si="45"/>
        <v>4163.83</v>
      </c>
    </row>
    <row r="318" spans="2:21">
      <c r="B318" s="16">
        <f t="shared" si="46"/>
        <v>301</v>
      </c>
      <c r="C318" s="9">
        <f t="shared" si="47"/>
        <v>53717</v>
      </c>
      <c r="D318" s="6" t="str">
        <f>IFERROR((PPMT(Input!$E$55/12,B318,$C$6,Input!$E$54,-Input!$E$65,0))," ")</f>
        <v xml:space="preserve"> </v>
      </c>
      <c r="E318" s="6" t="str">
        <f>IFERROR(((IPMT(Input!$E$55/12,B318,$C$6,Input!$E$54,-Input!$E$65,0)))," ")</f>
        <v xml:space="preserve"> </v>
      </c>
      <c r="F318" s="6" t="str">
        <f t="shared" si="49"/>
        <v/>
      </c>
      <c r="G318" s="6" t="str">
        <f t="shared" si="48"/>
        <v/>
      </c>
      <c r="H318" s="6">
        <f t="shared" si="43"/>
        <v>-1000000</v>
      </c>
      <c r="I318" s="6" t="str">
        <f t="shared" si="44"/>
        <v/>
      </c>
      <c r="J318" s="6" t="str">
        <f>IF(B318&lt;&gt;"",IF(AND(Input!$H$54="Annual",MOD(B318,12)=0),Input!$J$54,IF(AND(Input!$H$54="1st Installment",B318=1),Input!$J$54,IF(Input!$H$54="Monthly",Input!$J$54,""))),"")</f>
        <v/>
      </c>
      <c r="K318" s="6">
        <f>IF(B318&lt;&gt;"",IF(AND(Input!$H$55="Annual",MOD(B318,12)=0),Input!$J$55,IF(AND(Input!$H$55="1st Installment",B318=1),Input!$J$55,IF(Input!$H$55="Monthly",Input!$J$55,""))),"")</f>
        <v>0</v>
      </c>
      <c r="L318" s="6" t="str">
        <f>IF(B318&lt;&gt;"",IF(AND(Input!$H$56="Annual",MOD(B318,12)=0),Input!$J$56,IF(AND(Input!$H$56="1st Installment",B318=1),Input!$J$56,IF(Input!$H$56="Monthly",Input!$J$56,""))),"")</f>
        <v/>
      </c>
      <c r="M318" s="6" t="str">
        <f>IF(B318&lt;&gt;"",IF(AND(Input!$H$57="Annual",MOD(B318,12)=0),Input!$J$57,IF(AND(Input!$H$57="1st Installment",B318=1),Input!$J$57,IF(Input!$H$57="Monthly",Input!$J$57,""))),"")</f>
        <v/>
      </c>
      <c r="N318" s="6" t="str">
        <f>IF(B318&lt;&gt;"",IF(AND(Input!$H$58="Annual",MOD(B318,12)=0),Input!$J$58,IF(AND(Input!$H$58="1st Installment",B318=1),Input!$J$58,IF(Input!$H$58="Monthly",Input!$J$58,IF(AND(Input!$H$58="End of the loan",B318=Input!$E$58),Input!$J$58,"")))),"")</f>
        <v/>
      </c>
      <c r="O318" s="6">
        <f t="shared" si="40"/>
        <v>0</v>
      </c>
      <c r="P318" s="4">
        <f t="shared" si="41"/>
        <v>1000000</v>
      </c>
      <c r="T318" s="9">
        <f t="shared" si="42"/>
        <v>53717</v>
      </c>
      <c r="U318" s="5">
        <f t="shared" si="45"/>
        <v>1000000</v>
      </c>
    </row>
    <row r="319" spans="2:21">
      <c r="B319" s="16" t="str">
        <f t="shared" si="46"/>
        <v/>
      </c>
      <c r="C319" s="9" t="str">
        <f t="shared" si="47"/>
        <v/>
      </c>
      <c r="D319" s="6" t="str">
        <f>IFERROR((PPMT(Input!$E$55/12,B319,$C$6,Input!$E$54,-Input!$E$65,0))," ")</f>
        <v xml:space="preserve"> </v>
      </c>
      <c r="E319" s="6" t="str">
        <f>IFERROR(((IPMT(Input!$E$55/12,B319,$C$6,Input!$E$54,-Input!$E$65,0)))," ")</f>
        <v xml:space="preserve"> </v>
      </c>
      <c r="F319" s="6" t="str">
        <f t="shared" si="49"/>
        <v/>
      </c>
      <c r="G319" s="6" t="str">
        <f t="shared" si="48"/>
        <v/>
      </c>
      <c r="H319" s="6" t="str">
        <f t="shared" si="43"/>
        <v/>
      </c>
      <c r="I319" s="6" t="str">
        <f t="shared" si="44"/>
        <v/>
      </c>
      <c r="J319" s="6" t="str">
        <f>IF(B319&lt;&gt;"",IF(AND(Input!$H$54="Annual",MOD(B319,12)=0),Input!$J$54,IF(AND(Input!$H$54="1st Installment",B319=1),Input!$J$54,IF(Input!$H$54="Monthly",Input!$J$54,""))),"")</f>
        <v/>
      </c>
      <c r="K319" s="6" t="str">
        <f>IF(B319&lt;&gt;"",IF(AND(Input!$H$55="Annual",MOD(B319,12)=0),Input!$J$55,IF(AND(Input!$H$55="1st Installment",B319=1),Input!$J$55,IF(Input!$H$55="Monthly",Input!$J$55,""))),"")</f>
        <v/>
      </c>
      <c r="L319" s="6" t="str">
        <f>IF(B319&lt;&gt;"",IF(AND(Input!$H$56="Annual",MOD(B319,12)=0),Input!$J$56,IF(AND(Input!$H$56="1st Installment",B319=1),Input!$J$56,IF(Input!$H$56="Monthly",Input!$J$56,""))),"")</f>
        <v/>
      </c>
      <c r="M319" s="6" t="str">
        <f>IF(B319&lt;&gt;"",IF(AND(Input!$H$57="Annual",MOD(B319,12)=0),Input!$J$57,IF(AND(Input!$H$57="1st Installment",B319=1),Input!$J$57,IF(Input!$H$57="Monthly",Input!$J$57,""))),"")</f>
        <v/>
      </c>
      <c r="N319" s="6" t="str">
        <f>IF(B319&lt;&gt;"",IF(AND(Input!$H$58="Annual",MOD(B319,12)=0),Input!$J$58,IF(AND(Input!$H$58="1st Installment",B319=1),Input!$J$58,IF(Input!$H$58="Monthly",Input!$J$58,IF(AND(Input!$H$58="End of the loan",B319=Input!$E$58),Input!$J$58,"")))),"")</f>
        <v/>
      </c>
      <c r="O319" s="6" t="str">
        <f t="shared" si="40"/>
        <v/>
      </c>
      <c r="P319" s="4" t="str">
        <f t="shared" si="41"/>
        <v/>
      </c>
      <c r="T319" s="9" t="str">
        <f t="shared" si="42"/>
        <v/>
      </c>
      <c r="U319" s="5" t="str">
        <f t="shared" si="45"/>
        <v xml:space="preserve"> </v>
      </c>
    </row>
    <row r="320" spans="2:21">
      <c r="B320" s="16" t="str">
        <f t="shared" si="46"/>
        <v/>
      </c>
      <c r="C320" s="9" t="str">
        <f t="shared" si="47"/>
        <v/>
      </c>
      <c r="D320" s="6" t="str">
        <f>IFERROR((PPMT(Input!$E$55/12,B320,$C$6,Input!$E$54,-Input!$E$65,0))," ")</f>
        <v xml:space="preserve"> </v>
      </c>
      <c r="E320" s="6" t="str">
        <f>IFERROR(((IPMT(Input!$E$55/12,B320,$C$6,Input!$E$54,-Input!$E$65,0)))," ")</f>
        <v xml:space="preserve"> </v>
      </c>
      <c r="F320" s="6" t="str">
        <f t="shared" si="49"/>
        <v/>
      </c>
      <c r="G320" s="6" t="str">
        <f t="shared" si="48"/>
        <v/>
      </c>
      <c r="H320" s="6" t="str">
        <f t="shared" si="43"/>
        <v/>
      </c>
      <c r="I320" s="6" t="str">
        <f t="shared" si="44"/>
        <v/>
      </c>
      <c r="J320" s="6" t="str">
        <f>IF(B320&lt;&gt;"",IF(AND(Input!$H$54="Annual",MOD(B320,12)=0),Input!$J$54,IF(AND(Input!$H$54="1st Installment",B320=1),Input!$J$54,IF(Input!$H$54="Monthly",Input!$J$54,""))),"")</f>
        <v/>
      </c>
      <c r="K320" s="6" t="str">
        <f>IF(B320&lt;&gt;"",IF(AND(Input!$H$55="Annual",MOD(B320,12)=0),Input!$J$55,IF(AND(Input!$H$55="1st Installment",B320=1),Input!$J$55,IF(Input!$H$55="Monthly",Input!$J$55,""))),"")</f>
        <v/>
      </c>
      <c r="L320" s="6" t="str">
        <f>IF(B320&lt;&gt;"",IF(AND(Input!$H$56="Annual",MOD(B320,12)=0),Input!$J$56,IF(AND(Input!$H$56="1st Installment",B320=1),Input!$J$56,IF(Input!$H$56="Monthly",Input!$J$56,""))),"")</f>
        <v/>
      </c>
      <c r="M320" s="6" t="str">
        <f>IF(B320&lt;&gt;"",IF(AND(Input!$H$57="Annual",MOD(B320,12)=0),Input!$J$57,IF(AND(Input!$H$57="1st Installment",B320=1),Input!$J$57,IF(Input!$H$57="Monthly",Input!$J$57,""))),"")</f>
        <v/>
      </c>
      <c r="N320" s="6" t="str">
        <f>IF(B320&lt;&gt;"",IF(AND(Input!$H$58="Annual",MOD(B320,12)=0),Input!$J$58,IF(AND(Input!$H$58="1st Installment",B320=1),Input!$J$58,IF(Input!$H$58="Monthly",Input!$J$58,IF(AND(Input!$H$58="End of the loan",B320=Input!$E$58),Input!$J$58,"")))),"")</f>
        <v/>
      </c>
      <c r="O320" s="6" t="str">
        <f t="shared" si="40"/>
        <v/>
      </c>
      <c r="P320" s="4" t="str">
        <f t="shared" si="41"/>
        <v/>
      </c>
      <c r="T320" s="9" t="str">
        <f t="shared" si="42"/>
        <v/>
      </c>
      <c r="U320" s="5" t="str">
        <f t="shared" si="45"/>
        <v xml:space="preserve"> </v>
      </c>
    </row>
    <row r="321" spans="2:21">
      <c r="B321" s="16" t="str">
        <f t="shared" si="46"/>
        <v/>
      </c>
      <c r="C321" s="9" t="str">
        <f t="shared" si="47"/>
        <v/>
      </c>
      <c r="D321" s="6" t="str">
        <f>IFERROR((PPMT(Input!$E$55/12,B321,$C$6,Input!$E$54,-Input!$E$65,0))," ")</f>
        <v xml:space="preserve"> </v>
      </c>
      <c r="E321" s="6" t="str">
        <f>IFERROR(((IPMT(Input!$E$55/12,B321,$C$6,Input!$E$54,-Input!$E$65,0)))," ")</f>
        <v xml:space="preserve"> </v>
      </c>
      <c r="F321" s="6" t="str">
        <f t="shared" si="49"/>
        <v/>
      </c>
      <c r="G321" s="6" t="str">
        <f t="shared" si="48"/>
        <v/>
      </c>
      <c r="H321" s="6" t="str">
        <f t="shared" si="43"/>
        <v/>
      </c>
      <c r="I321" s="6" t="str">
        <f t="shared" si="44"/>
        <v/>
      </c>
      <c r="J321" s="6" t="str">
        <f>IF(B321&lt;&gt;"",IF(AND(Input!$H$54="Annual",MOD(B321,12)=0),Input!$J$54,IF(AND(Input!$H$54="1st Installment",B321=1),Input!$J$54,IF(Input!$H$54="Monthly",Input!$J$54,""))),"")</f>
        <v/>
      </c>
      <c r="K321" s="6" t="str">
        <f>IF(B321&lt;&gt;"",IF(AND(Input!$H$55="Annual",MOD(B321,12)=0),Input!$J$55,IF(AND(Input!$H$55="1st Installment",B321=1),Input!$J$55,IF(Input!$H$55="Monthly",Input!$J$55,""))),"")</f>
        <v/>
      </c>
      <c r="L321" s="6" t="str">
        <f>IF(B321&lt;&gt;"",IF(AND(Input!$H$56="Annual",MOD(B321,12)=0),Input!$J$56,IF(AND(Input!$H$56="1st Installment",B321=1),Input!$J$56,IF(Input!$H$56="Monthly",Input!$J$56,""))),"")</f>
        <v/>
      </c>
      <c r="M321" s="6" t="str">
        <f>IF(B321&lt;&gt;"",IF(AND(Input!$H$57="Annual",MOD(B321,12)=0),Input!$J$57,IF(AND(Input!$H$57="1st Installment",B321=1),Input!$J$57,IF(Input!$H$57="Monthly",Input!$J$57,""))),"")</f>
        <v/>
      </c>
      <c r="N321" s="6" t="str">
        <f>IF(B321&lt;&gt;"",IF(AND(Input!$H$58="Annual",MOD(B321,12)=0),Input!$J$58,IF(AND(Input!$H$58="1st Installment",B321=1),Input!$J$58,IF(Input!$H$58="Monthly",Input!$J$58,IF(AND(Input!$H$58="End of the loan",B321=Input!$E$58),Input!$J$58,"")))),"")</f>
        <v/>
      </c>
      <c r="O321" s="6" t="str">
        <f t="shared" si="40"/>
        <v/>
      </c>
      <c r="P321" s="4" t="str">
        <f t="shared" si="41"/>
        <v/>
      </c>
      <c r="T321" s="9" t="str">
        <f t="shared" si="42"/>
        <v/>
      </c>
      <c r="U321" s="5" t="str">
        <f t="shared" si="45"/>
        <v xml:space="preserve"> </v>
      </c>
    </row>
    <row r="322" spans="2:21">
      <c r="B322" s="16" t="str">
        <f t="shared" si="46"/>
        <v/>
      </c>
      <c r="C322" s="9" t="str">
        <f t="shared" si="47"/>
        <v/>
      </c>
      <c r="D322" s="6" t="str">
        <f>IFERROR((PPMT(Input!$E$55/12,B322,$C$6,Input!$E$54,-Input!$E$65,0))," ")</f>
        <v xml:space="preserve"> </v>
      </c>
      <c r="E322" s="6" t="str">
        <f>IFERROR(((IPMT(Input!$E$55/12,B322,$C$6,Input!$E$54,-Input!$E$65,0)))," ")</f>
        <v xml:space="preserve"> </v>
      </c>
      <c r="F322" s="6" t="str">
        <f t="shared" si="49"/>
        <v/>
      </c>
      <c r="G322" s="6" t="str">
        <f t="shared" si="48"/>
        <v/>
      </c>
      <c r="H322" s="6" t="str">
        <f t="shared" si="43"/>
        <v/>
      </c>
      <c r="I322" s="6" t="str">
        <f t="shared" si="44"/>
        <v/>
      </c>
      <c r="J322" s="6" t="str">
        <f>IF(B322&lt;&gt;"",IF(AND(Input!$H$54="Annual",MOD(B322,12)=0),Input!$J$54,IF(AND(Input!$H$54="1st Installment",B322=1),Input!$J$54,IF(Input!$H$54="Monthly",Input!$J$54,""))),"")</f>
        <v/>
      </c>
      <c r="K322" s="6" t="str">
        <f>IF(B322&lt;&gt;"",IF(AND(Input!$H$55="Annual",MOD(B322,12)=0),Input!$J$55,IF(AND(Input!$H$55="1st Installment",B322=1),Input!$J$55,IF(Input!$H$55="Monthly",Input!$J$55,""))),"")</f>
        <v/>
      </c>
      <c r="L322" s="6" t="str">
        <f>IF(B322&lt;&gt;"",IF(AND(Input!$H$56="Annual",MOD(B322,12)=0),Input!$J$56,IF(AND(Input!$H$56="1st Installment",B322=1),Input!$J$56,IF(Input!$H$56="Monthly",Input!$J$56,""))),"")</f>
        <v/>
      </c>
      <c r="M322" s="6" t="str">
        <f>IF(B322&lt;&gt;"",IF(AND(Input!$H$57="Annual",MOD(B322,12)=0),Input!$J$57,IF(AND(Input!$H$57="1st Installment",B322=1),Input!$J$57,IF(Input!$H$57="Monthly",Input!$J$57,""))),"")</f>
        <v/>
      </c>
      <c r="N322" s="6" t="str">
        <f>IF(B322&lt;&gt;"",IF(AND(Input!$H$58="Annual",MOD(B322,12)=0),Input!$J$58,IF(AND(Input!$H$58="1st Installment",B322=1),Input!$J$58,IF(Input!$H$58="Monthly",Input!$J$58,IF(AND(Input!$H$58="End of the loan",B322=Input!$E$58),Input!$J$58,"")))),"")</f>
        <v/>
      </c>
      <c r="O322" s="6" t="str">
        <f t="shared" si="40"/>
        <v/>
      </c>
      <c r="P322" s="4" t="str">
        <f t="shared" si="41"/>
        <v/>
      </c>
      <c r="T322" s="9" t="str">
        <f t="shared" si="42"/>
        <v/>
      </c>
      <c r="U322" s="5" t="str">
        <f t="shared" si="45"/>
        <v xml:space="preserve"> </v>
      </c>
    </row>
    <row r="323" spans="2:21">
      <c r="B323" s="16" t="str">
        <f t="shared" si="46"/>
        <v/>
      </c>
      <c r="C323" s="9" t="str">
        <f t="shared" si="47"/>
        <v/>
      </c>
      <c r="D323" s="6" t="str">
        <f>IFERROR((PPMT(Input!$E$55/12,B323,$C$6,Input!$E$54,-Input!$E$65,0))," ")</f>
        <v xml:space="preserve"> </v>
      </c>
      <c r="E323" s="6" t="str">
        <f>IFERROR(((IPMT(Input!$E$55/12,B323,$C$6,Input!$E$54,-Input!$E$65,0)))," ")</f>
        <v xml:space="preserve"> </v>
      </c>
      <c r="F323" s="6" t="str">
        <f t="shared" si="49"/>
        <v/>
      </c>
      <c r="G323" s="6" t="str">
        <f t="shared" si="48"/>
        <v/>
      </c>
      <c r="H323" s="6" t="str">
        <f t="shared" si="43"/>
        <v/>
      </c>
      <c r="I323" s="6" t="str">
        <f t="shared" si="44"/>
        <v/>
      </c>
      <c r="J323" s="6" t="str">
        <f>IF(B323&lt;&gt;"",IF(AND(Input!$H$54="Annual",MOD(B323,12)=0),Input!$J$54,IF(AND(Input!$H$54="1st Installment",B323=1),Input!$J$54,IF(Input!$H$54="Monthly",Input!$J$54,""))),"")</f>
        <v/>
      </c>
      <c r="K323" s="6" t="str">
        <f>IF(B323&lt;&gt;"",IF(AND(Input!$H$55="Annual",MOD(B323,12)=0),Input!$J$55,IF(AND(Input!$H$55="1st Installment",B323=1),Input!$J$55,IF(Input!$H$55="Monthly",Input!$J$55,""))),"")</f>
        <v/>
      </c>
      <c r="L323" s="6" t="str">
        <f>IF(B323&lt;&gt;"",IF(AND(Input!$H$56="Annual",MOD(B323,12)=0),Input!$J$56,IF(AND(Input!$H$56="1st Installment",B323=1),Input!$J$56,IF(Input!$H$56="Monthly",Input!$J$56,""))),"")</f>
        <v/>
      </c>
      <c r="M323" s="6" t="str">
        <f>IF(B323&lt;&gt;"",IF(AND(Input!$H$57="Annual",MOD(B323,12)=0),Input!$J$57,IF(AND(Input!$H$57="1st Installment",B323=1),Input!$J$57,IF(Input!$H$57="Monthly",Input!$J$57,""))),"")</f>
        <v/>
      </c>
      <c r="N323" s="6" t="str">
        <f>IF(B323&lt;&gt;"",IF(AND(Input!$H$58="Annual",MOD(B323,12)=0),Input!$J$58,IF(AND(Input!$H$58="1st Installment",B323=1),Input!$J$58,IF(Input!$H$58="Monthly",Input!$J$58,IF(AND(Input!$H$58="End of the loan",B323=Input!$E$58),Input!$J$58,"")))),"")</f>
        <v/>
      </c>
      <c r="O323" s="6" t="str">
        <f t="shared" si="40"/>
        <v/>
      </c>
      <c r="P323" s="4" t="str">
        <f t="shared" si="41"/>
        <v/>
      </c>
      <c r="T323" s="9" t="str">
        <f t="shared" si="42"/>
        <v/>
      </c>
      <c r="U323" s="5" t="str">
        <f t="shared" si="45"/>
        <v xml:space="preserve"> </v>
      </c>
    </row>
    <row r="324" spans="2:21">
      <c r="B324" s="16" t="str">
        <f t="shared" si="46"/>
        <v/>
      </c>
      <c r="C324" s="9" t="str">
        <f t="shared" si="47"/>
        <v/>
      </c>
      <c r="D324" s="6" t="str">
        <f>IFERROR((PPMT(Input!$E$55/12,B324,$C$6,Input!$E$54,-Input!$E$65,0))," ")</f>
        <v xml:space="preserve"> </v>
      </c>
      <c r="E324" s="6" t="str">
        <f>IFERROR(((IPMT(Input!$E$55/12,B324,$C$6,Input!$E$54,-Input!$E$65,0)))," ")</f>
        <v xml:space="preserve"> </v>
      </c>
      <c r="F324" s="6" t="str">
        <f t="shared" si="49"/>
        <v/>
      </c>
      <c r="G324" s="6" t="str">
        <f t="shared" si="48"/>
        <v/>
      </c>
      <c r="H324" s="6" t="str">
        <f t="shared" si="43"/>
        <v/>
      </c>
      <c r="I324" s="6" t="str">
        <f t="shared" si="44"/>
        <v/>
      </c>
      <c r="J324" s="6" t="str">
        <f>IF(B324&lt;&gt;"",IF(AND(Input!$H$54="Annual",MOD(B324,12)=0),Input!$J$54,IF(AND(Input!$H$54="1st Installment",B324=1),Input!$J$54,IF(Input!$H$54="Monthly",Input!$J$54,""))),"")</f>
        <v/>
      </c>
      <c r="K324" s="6" t="str">
        <f>IF(B324&lt;&gt;"",IF(AND(Input!$H$55="Annual",MOD(B324,12)=0),Input!$J$55,IF(AND(Input!$H$55="1st Installment",B324=1),Input!$J$55,IF(Input!$H$55="Monthly",Input!$J$55,""))),"")</f>
        <v/>
      </c>
      <c r="L324" s="6" t="str">
        <f>IF(B324&lt;&gt;"",IF(AND(Input!$H$56="Annual",MOD(B324,12)=0),Input!$J$56,IF(AND(Input!$H$56="1st Installment",B324=1),Input!$J$56,IF(Input!$H$56="Monthly",Input!$J$56,""))),"")</f>
        <v/>
      </c>
      <c r="M324" s="6" t="str">
        <f>IF(B324&lt;&gt;"",IF(AND(Input!$H$57="Annual",MOD(B324,12)=0),Input!$J$57,IF(AND(Input!$H$57="1st Installment",B324=1),Input!$J$57,IF(Input!$H$57="Monthly",Input!$J$57,""))),"")</f>
        <v/>
      </c>
      <c r="N324" s="6" t="str">
        <f>IF(B324&lt;&gt;"",IF(AND(Input!$H$58="Annual",MOD(B324,12)=0),Input!$J$58,IF(AND(Input!$H$58="1st Installment",B324=1),Input!$J$58,IF(Input!$H$58="Monthly",Input!$J$58,IF(AND(Input!$H$58="End of the loan",B324=Input!$E$58),Input!$J$58,"")))),"")</f>
        <v/>
      </c>
      <c r="O324" s="6" t="str">
        <f t="shared" si="40"/>
        <v/>
      </c>
      <c r="P324" s="4" t="str">
        <f t="shared" si="41"/>
        <v/>
      </c>
      <c r="T324" s="9" t="str">
        <f t="shared" si="42"/>
        <v/>
      </c>
      <c r="U324" s="5" t="str">
        <f t="shared" si="45"/>
        <v xml:space="preserve"> </v>
      </c>
    </row>
    <row r="325" spans="2:21">
      <c r="B325" s="16" t="str">
        <f t="shared" si="46"/>
        <v/>
      </c>
      <c r="C325" s="9" t="str">
        <f t="shared" si="47"/>
        <v/>
      </c>
      <c r="D325" s="6" t="str">
        <f>IFERROR((PPMT(Input!$E$55/12,B325,$C$6,Input!$E$54,-Input!$E$65,0))," ")</f>
        <v xml:space="preserve"> </v>
      </c>
      <c r="E325" s="6" t="str">
        <f>IFERROR(((IPMT(Input!$E$55/12,B325,$C$6,Input!$E$54,-Input!$E$65,0)))," ")</f>
        <v xml:space="preserve"> </v>
      </c>
      <c r="F325" s="6" t="str">
        <f t="shared" si="49"/>
        <v/>
      </c>
      <c r="G325" s="6" t="str">
        <f t="shared" si="48"/>
        <v/>
      </c>
      <c r="H325" s="6" t="str">
        <f t="shared" si="43"/>
        <v/>
      </c>
      <c r="I325" s="6" t="str">
        <f t="shared" si="44"/>
        <v/>
      </c>
      <c r="J325" s="6" t="str">
        <f>IF(B325&lt;&gt;"",IF(AND(Input!$H$54="Annual",MOD(B325,12)=0),Input!$J$54,IF(AND(Input!$H$54="1st Installment",B325=1),Input!$J$54,IF(Input!$H$54="Monthly",Input!$J$54,""))),"")</f>
        <v/>
      </c>
      <c r="K325" s="6" t="str">
        <f>IF(B325&lt;&gt;"",IF(AND(Input!$H$55="Annual",MOD(B325,12)=0),Input!$J$55,IF(AND(Input!$H$55="1st Installment",B325=1),Input!$J$55,IF(Input!$H$55="Monthly",Input!$J$55,""))),"")</f>
        <v/>
      </c>
      <c r="L325" s="6" t="str">
        <f>IF(B325&lt;&gt;"",IF(AND(Input!$H$56="Annual",MOD(B325,12)=0),Input!$J$56,IF(AND(Input!$H$56="1st Installment",B325=1),Input!$J$56,IF(Input!$H$56="Monthly",Input!$J$56,""))),"")</f>
        <v/>
      </c>
      <c r="M325" s="6" t="str">
        <f>IF(B325&lt;&gt;"",IF(AND(Input!$H$57="Annual",MOD(B325,12)=0),Input!$J$57,IF(AND(Input!$H$57="1st Installment",B325=1),Input!$J$57,IF(Input!$H$57="Monthly",Input!$J$57,""))),"")</f>
        <v/>
      </c>
      <c r="N325" s="6" t="str">
        <f>IF(B325&lt;&gt;"",IF(AND(Input!$H$58="Annual",MOD(B325,12)=0),Input!$J$58,IF(AND(Input!$H$58="1st Installment",B325=1),Input!$J$58,IF(Input!$H$58="Monthly",Input!$J$58,IF(AND(Input!$H$58="End of the loan",B325=Input!$E$58),Input!$J$58,"")))),"")</f>
        <v/>
      </c>
      <c r="O325" s="6" t="str">
        <f t="shared" si="40"/>
        <v/>
      </c>
      <c r="P325" s="4" t="str">
        <f t="shared" si="41"/>
        <v/>
      </c>
      <c r="T325" s="9" t="str">
        <f t="shared" si="42"/>
        <v/>
      </c>
      <c r="U325" s="5" t="str">
        <f t="shared" si="45"/>
        <v xml:space="preserve"> </v>
      </c>
    </row>
    <row r="326" spans="2:21">
      <c r="B326" s="16" t="str">
        <f t="shared" si="46"/>
        <v/>
      </c>
      <c r="C326" s="9" t="str">
        <f t="shared" si="47"/>
        <v/>
      </c>
      <c r="D326" s="6" t="str">
        <f>IFERROR((PPMT(Input!$E$55/12,B326,$C$6,Input!$E$54,-Input!$E$65,0))," ")</f>
        <v xml:space="preserve"> </v>
      </c>
      <c r="E326" s="6" t="str">
        <f>IFERROR(((IPMT(Input!$E$55/12,B326,$C$6,Input!$E$54,-Input!$E$65,0)))," ")</f>
        <v xml:space="preserve"> </v>
      </c>
      <c r="F326" s="6" t="str">
        <f t="shared" si="49"/>
        <v/>
      </c>
      <c r="G326" s="6" t="str">
        <f t="shared" si="48"/>
        <v/>
      </c>
      <c r="H326" s="6" t="str">
        <f t="shared" si="43"/>
        <v/>
      </c>
      <c r="I326" s="6" t="str">
        <f t="shared" si="44"/>
        <v/>
      </c>
      <c r="J326" s="6" t="str">
        <f>IF(B326&lt;&gt;"",IF(AND(Input!$H$54="Annual",MOD(B326,12)=0),Input!$J$54,IF(AND(Input!$H$54="1st Installment",B326=1),Input!$J$54,IF(Input!$H$54="Monthly",Input!$J$54,""))),"")</f>
        <v/>
      </c>
      <c r="K326" s="6" t="str">
        <f>IF(B326&lt;&gt;"",IF(AND(Input!$H$55="Annual",MOD(B326,12)=0),Input!$J$55,IF(AND(Input!$H$55="1st Installment",B326=1),Input!$J$55,IF(Input!$H$55="Monthly",Input!$J$55,""))),"")</f>
        <v/>
      </c>
      <c r="L326" s="6" t="str">
        <f>IF(B326&lt;&gt;"",IF(AND(Input!$H$56="Annual",MOD(B326,12)=0),Input!$J$56,IF(AND(Input!$H$56="1st Installment",B326=1),Input!$J$56,IF(Input!$H$56="Monthly",Input!$J$56,""))),"")</f>
        <v/>
      </c>
      <c r="M326" s="6" t="str">
        <f>IF(B326&lt;&gt;"",IF(AND(Input!$H$57="Annual",MOD(B326,12)=0),Input!$J$57,IF(AND(Input!$H$57="1st Installment",B326=1),Input!$J$57,IF(Input!$H$57="Monthly",Input!$J$57,""))),"")</f>
        <v/>
      </c>
      <c r="N326" s="6" t="str">
        <f>IF(B326&lt;&gt;"",IF(AND(Input!$H$58="Annual",MOD(B326,12)=0),Input!$J$58,IF(AND(Input!$H$58="1st Installment",B326=1),Input!$J$58,IF(Input!$H$58="Monthly",Input!$J$58,IF(AND(Input!$H$58="End of the loan",B326=Input!$E$58),Input!$J$58,"")))),"")</f>
        <v/>
      </c>
      <c r="O326" s="6" t="str">
        <f t="shared" si="40"/>
        <v/>
      </c>
      <c r="P326" s="4" t="str">
        <f t="shared" si="41"/>
        <v/>
      </c>
      <c r="T326" s="9" t="str">
        <f t="shared" si="42"/>
        <v/>
      </c>
      <c r="U326" s="5" t="str">
        <f t="shared" si="45"/>
        <v xml:space="preserve"> </v>
      </c>
    </row>
    <row r="327" spans="2:21">
      <c r="B327" s="16" t="str">
        <f t="shared" si="46"/>
        <v/>
      </c>
      <c r="C327" s="9" t="str">
        <f t="shared" si="47"/>
        <v/>
      </c>
      <c r="D327" s="6" t="str">
        <f>IFERROR((PPMT(Input!$E$55/12,B327,$C$6,Input!$E$54,-Input!$E$65,0))," ")</f>
        <v xml:space="preserve"> </v>
      </c>
      <c r="E327" s="6" t="str">
        <f>IFERROR(((IPMT(Input!$E$55/12,B327,$C$6,Input!$E$54,-Input!$E$65,0)))," ")</f>
        <v xml:space="preserve"> </v>
      </c>
      <c r="F327" s="6" t="str">
        <f t="shared" si="49"/>
        <v/>
      </c>
      <c r="G327" s="6" t="str">
        <f t="shared" si="48"/>
        <v/>
      </c>
      <c r="H327" s="6" t="str">
        <f t="shared" si="43"/>
        <v/>
      </c>
      <c r="I327" s="6" t="str">
        <f t="shared" si="44"/>
        <v/>
      </c>
      <c r="J327" s="6" t="str">
        <f>IF(B327&lt;&gt;"",IF(AND(Input!$H$54="Annual",MOD(B327,12)=0),Input!$J$54,IF(AND(Input!$H$54="1st Installment",B327=1),Input!$J$54,IF(Input!$H$54="Monthly",Input!$J$54,""))),"")</f>
        <v/>
      </c>
      <c r="K327" s="6" t="str">
        <f>IF(B327&lt;&gt;"",IF(AND(Input!$H$55="Annual",MOD(B327,12)=0),Input!$J$55,IF(AND(Input!$H$55="1st Installment",B327=1),Input!$J$55,IF(Input!$H$55="Monthly",Input!$J$55,""))),"")</f>
        <v/>
      </c>
      <c r="L327" s="6" t="str">
        <f>IF(B327&lt;&gt;"",IF(AND(Input!$H$56="Annual",MOD(B327,12)=0),Input!$J$56,IF(AND(Input!$H$56="1st Installment",B327=1),Input!$J$56,IF(Input!$H$56="Monthly",Input!$J$56,""))),"")</f>
        <v/>
      </c>
      <c r="M327" s="6" t="str">
        <f>IF(B327&lt;&gt;"",IF(AND(Input!$H$57="Annual",MOD(B327,12)=0),Input!$J$57,IF(AND(Input!$H$57="1st Installment",B327=1),Input!$J$57,IF(Input!$H$57="Monthly",Input!$J$57,""))),"")</f>
        <v/>
      </c>
      <c r="N327" s="6" t="str">
        <f>IF(B327&lt;&gt;"",IF(AND(Input!$H$58="Annual",MOD(B327,12)=0),Input!$J$58,IF(AND(Input!$H$58="1st Installment",B327=1),Input!$J$58,IF(Input!$H$58="Monthly",Input!$J$58,IF(AND(Input!$H$58="End of the loan",B327=Input!$E$58),Input!$J$58,"")))),"")</f>
        <v/>
      </c>
      <c r="O327" s="6" t="str">
        <f t="shared" si="40"/>
        <v/>
      </c>
      <c r="P327" s="4" t="str">
        <f t="shared" si="41"/>
        <v/>
      </c>
      <c r="T327" s="9" t="str">
        <f t="shared" si="42"/>
        <v/>
      </c>
      <c r="U327" s="5" t="str">
        <f t="shared" si="45"/>
        <v xml:space="preserve"> </v>
      </c>
    </row>
    <row r="328" spans="2:21">
      <c r="B328" s="16" t="str">
        <f t="shared" si="46"/>
        <v/>
      </c>
      <c r="C328" s="9" t="str">
        <f t="shared" si="47"/>
        <v/>
      </c>
      <c r="D328" s="6" t="str">
        <f>IFERROR((PPMT(Input!$E$55/12,B328,$C$6,Input!$E$54,-Input!$E$65,0))," ")</f>
        <v xml:space="preserve"> </v>
      </c>
      <c r="E328" s="6" t="str">
        <f>IFERROR(((IPMT(Input!$E$55/12,B328,$C$6,Input!$E$54,-Input!$E$65,0)))," ")</f>
        <v xml:space="preserve"> </v>
      </c>
      <c r="F328" s="6" t="str">
        <f t="shared" si="49"/>
        <v/>
      </c>
      <c r="G328" s="6" t="str">
        <f t="shared" si="48"/>
        <v/>
      </c>
      <c r="H328" s="6" t="str">
        <f t="shared" si="43"/>
        <v/>
      </c>
      <c r="I328" s="6" t="str">
        <f t="shared" si="44"/>
        <v/>
      </c>
      <c r="J328" s="6" t="str">
        <f>IF(B328&lt;&gt;"",IF(AND(Input!$H$54="Annual",MOD(B328,12)=0),Input!$J$54,IF(AND(Input!$H$54="1st Installment",B328=1),Input!$J$54,IF(Input!$H$54="Monthly",Input!$J$54,""))),"")</f>
        <v/>
      </c>
      <c r="K328" s="6" t="str">
        <f>IF(B328&lt;&gt;"",IF(AND(Input!$H$55="Annual",MOD(B328,12)=0),Input!$J$55,IF(AND(Input!$H$55="1st Installment",B328=1),Input!$J$55,IF(Input!$H$55="Monthly",Input!$J$55,""))),"")</f>
        <v/>
      </c>
      <c r="L328" s="6" t="str">
        <f>IF(B328&lt;&gt;"",IF(AND(Input!$H$56="Annual",MOD(B328,12)=0),Input!$J$56,IF(AND(Input!$H$56="1st Installment",B328=1),Input!$J$56,IF(Input!$H$56="Monthly",Input!$J$56,""))),"")</f>
        <v/>
      </c>
      <c r="M328" s="6" t="str">
        <f>IF(B328&lt;&gt;"",IF(AND(Input!$H$57="Annual",MOD(B328,12)=0),Input!$J$57,IF(AND(Input!$H$57="1st Installment",B328=1),Input!$J$57,IF(Input!$H$57="Monthly",Input!$J$57,""))),"")</f>
        <v/>
      </c>
      <c r="N328" s="6" t="str">
        <f>IF(B328&lt;&gt;"",IF(AND(Input!$H$58="Annual",MOD(B328,12)=0),Input!$J$58,IF(AND(Input!$H$58="1st Installment",B328=1),Input!$J$58,IF(Input!$H$58="Monthly",Input!$J$58,IF(AND(Input!$H$58="End of the loan",B328=Input!$E$58),Input!$J$58,"")))),"")</f>
        <v/>
      </c>
      <c r="O328" s="6" t="str">
        <f t="shared" si="40"/>
        <v/>
      </c>
      <c r="P328" s="4" t="str">
        <f t="shared" si="41"/>
        <v/>
      </c>
      <c r="T328" s="9" t="str">
        <f t="shared" si="42"/>
        <v/>
      </c>
      <c r="U328" s="5" t="str">
        <f t="shared" si="45"/>
        <v xml:space="preserve"> </v>
      </c>
    </row>
    <row r="329" spans="2:21">
      <c r="B329" s="16" t="str">
        <f t="shared" si="46"/>
        <v/>
      </c>
      <c r="C329" s="9" t="str">
        <f t="shared" si="47"/>
        <v/>
      </c>
      <c r="D329" s="6" t="str">
        <f>IFERROR((PPMT(Input!$E$55/12,B329,$C$6,Input!$E$54,-Input!$E$65,0))," ")</f>
        <v xml:space="preserve"> </v>
      </c>
      <c r="E329" s="6" t="str">
        <f>IFERROR(((IPMT(Input!$E$55/12,B329,$C$6,Input!$E$54,-Input!$E$65,0)))," ")</f>
        <v xml:space="preserve"> </v>
      </c>
      <c r="F329" s="6" t="str">
        <f t="shared" si="49"/>
        <v/>
      </c>
      <c r="G329" s="6" t="str">
        <f t="shared" si="48"/>
        <v/>
      </c>
      <c r="H329" s="6" t="str">
        <f t="shared" si="43"/>
        <v/>
      </c>
      <c r="I329" s="6" t="str">
        <f t="shared" si="44"/>
        <v/>
      </c>
      <c r="J329" s="6" t="str">
        <f>IF(B329&lt;&gt;"",IF(AND(Input!$H$54="Annual",MOD(B329,12)=0),Input!$J$54,IF(AND(Input!$H$54="1st Installment",B329=1),Input!$J$54,IF(Input!$H$54="Monthly",Input!$J$54,""))),"")</f>
        <v/>
      </c>
      <c r="K329" s="6" t="str">
        <f>IF(B329&lt;&gt;"",IF(AND(Input!$H$55="Annual",MOD(B329,12)=0),Input!$J$55,IF(AND(Input!$H$55="1st Installment",B329=1),Input!$J$55,IF(Input!$H$55="Monthly",Input!$J$55,""))),"")</f>
        <v/>
      </c>
      <c r="L329" s="6" t="str">
        <f>IF(B329&lt;&gt;"",IF(AND(Input!$H$56="Annual",MOD(B329,12)=0),Input!$J$56,IF(AND(Input!$H$56="1st Installment",B329=1),Input!$J$56,IF(Input!$H$56="Monthly",Input!$J$56,""))),"")</f>
        <v/>
      </c>
      <c r="M329" s="6" t="str">
        <f>IF(B329&lt;&gt;"",IF(AND(Input!$H$57="Annual",MOD(B329,12)=0),Input!$J$57,IF(AND(Input!$H$57="1st Installment",B329=1),Input!$J$57,IF(Input!$H$57="Monthly",Input!$J$57,""))),"")</f>
        <v/>
      </c>
      <c r="N329" s="6" t="str">
        <f>IF(B329&lt;&gt;"",IF(AND(Input!$H$58="Annual",MOD(B329,12)=0),Input!$J$58,IF(AND(Input!$H$58="1st Installment",B329=1),Input!$J$58,IF(Input!$H$58="Monthly",Input!$J$58,IF(AND(Input!$H$58="End of the loan",B329=Input!$E$58),Input!$J$58,"")))),"")</f>
        <v/>
      </c>
      <c r="O329" s="6" t="str">
        <f t="shared" si="40"/>
        <v/>
      </c>
      <c r="P329" s="4" t="str">
        <f t="shared" si="41"/>
        <v/>
      </c>
      <c r="T329" s="9" t="str">
        <f t="shared" si="42"/>
        <v/>
      </c>
      <c r="U329" s="5" t="str">
        <f t="shared" si="45"/>
        <v xml:space="preserve"> </v>
      </c>
    </row>
    <row r="330" spans="2:21">
      <c r="B330" s="16" t="str">
        <f t="shared" si="46"/>
        <v/>
      </c>
      <c r="C330" s="9" t="str">
        <f t="shared" si="47"/>
        <v/>
      </c>
      <c r="D330" s="6" t="str">
        <f>IFERROR((PPMT(Input!$E$55/12,B330,$C$6,Input!$E$54,-Input!$E$65,0))," ")</f>
        <v xml:space="preserve"> </v>
      </c>
      <c r="E330" s="6" t="str">
        <f>IFERROR(((IPMT(Input!$E$55/12,B330,$C$6,Input!$E$54,-Input!$E$65,0)))," ")</f>
        <v xml:space="preserve"> </v>
      </c>
      <c r="F330" s="6" t="str">
        <f t="shared" si="49"/>
        <v/>
      </c>
      <c r="G330" s="6" t="str">
        <f t="shared" si="48"/>
        <v/>
      </c>
      <c r="H330" s="6" t="str">
        <f t="shared" si="43"/>
        <v/>
      </c>
      <c r="I330" s="6" t="str">
        <f t="shared" si="44"/>
        <v/>
      </c>
      <c r="J330" s="6" t="str">
        <f>IF(B330&lt;&gt;"",IF(AND(Input!$H$54="Annual",MOD(B330,12)=0),Input!$J$54,IF(AND(Input!$H$54="1st Installment",B330=1),Input!$J$54,IF(Input!$H$54="Monthly",Input!$J$54,""))),"")</f>
        <v/>
      </c>
      <c r="K330" s="6" t="str">
        <f>IF(B330&lt;&gt;"",IF(AND(Input!$H$55="Annual",MOD(B330,12)=0),Input!$J$55,IF(AND(Input!$H$55="1st Installment",B330=1),Input!$J$55,IF(Input!$H$55="Monthly",Input!$J$55,""))),"")</f>
        <v/>
      </c>
      <c r="L330" s="6" t="str">
        <f>IF(B330&lt;&gt;"",IF(AND(Input!$H$56="Annual",MOD(B330,12)=0),Input!$J$56,IF(AND(Input!$H$56="1st Installment",B330=1),Input!$J$56,IF(Input!$H$56="Monthly",Input!$J$56,""))),"")</f>
        <v/>
      </c>
      <c r="M330" s="6" t="str">
        <f>IF(B330&lt;&gt;"",IF(AND(Input!$H$57="Annual",MOD(B330,12)=0),Input!$J$57,IF(AND(Input!$H$57="1st Installment",B330=1),Input!$J$57,IF(Input!$H$57="Monthly",Input!$J$57,""))),"")</f>
        <v/>
      </c>
      <c r="N330" s="6" t="str">
        <f>IF(B330&lt;&gt;"",IF(AND(Input!$H$58="Annual",MOD(B330,12)=0),Input!$J$58,IF(AND(Input!$H$58="1st Installment",B330=1),Input!$J$58,IF(Input!$H$58="Monthly",Input!$J$58,IF(AND(Input!$H$58="End of the loan",B330=Input!$E$58),Input!$J$58,"")))),"")</f>
        <v/>
      </c>
      <c r="O330" s="6" t="str">
        <f t="shared" si="40"/>
        <v/>
      </c>
      <c r="P330" s="4" t="str">
        <f t="shared" si="41"/>
        <v/>
      </c>
      <c r="T330" s="9" t="str">
        <f t="shared" si="42"/>
        <v/>
      </c>
      <c r="U330" s="5" t="str">
        <f t="shared" si="45"/>
        <v xml:space="preserve"> </v>
      </c>
    </row>
    <row r="331" spans="2:21">
      <c r="B331" s="16" t="str">
        <f t="shared" si="46"/>
        <v/>
      </c>
      <c r="C331" s="9" t="str">
        <f t="shared" si="47"/>
        <v/>
      </c>
      <c r="D331" s="6" t="str">
        <f>IFERROR((PPMT(Input!$E$55/12,B331,$C$6,Input!$E$54,-Input!$E$65,0))," ")</f>
        <v xml:space="preserve"> </v>
      </c>
      <c r="E331" s="6" t="str">
        <f>IFERROR(((IPMT(Input!$E$55/12,B331,$C$6,Input!$E$54,-Input!$E$65,0)))," ")</f>
        <v xml:space="preserve"> </v>
      </c>
      <c r="F331" s="6" t="str">
        <f t="shared" si="49"/>
        <v/>
      </c>
      <c r="G331" s="6" t="str">
        <f t="shared" si="48"/>
        <v/>
      </c>
      <c r="H331" s="6" t="str">
        <f t="shared" si="43"/>
        <v/>
      </c>
      <c r="I331" s="6" t="str">
        <f t="shared" si="44"/>
        <v/>
      </c>
      <c r="J331" s="6" t="str">
        <f>IF(B331&lt;&gt;"",IF(AND(Input!$H$54="Annual",MOD(B331,12)=0),Input!$J$54,IF(AND(Input!$H$54="1st Installment",B331=1),Input!$J$54,IF(Input!$H$54="Monthly",Input!$J$54,""))),"")</f>
        <v/>
      </c>
      <c r="K331" s="6" t="str">
        <f>IF(B331&lt;&gt;"",IF(AND(Input!$H$55="Annual",MOD(B331,12)=0),Input!$J$55,IF(AND(Input!$H$55="1st Installment",B331=1),Input!$J$55,IF(Input!$H$55="Monthly",Input!$J$55,""))),"")</f>
        <v/>
      </c>
      <c r="L331" s="6" t="str">
        <f>IF(B331&lt;&gt;"",IF(AND(Input!$H$56="Annual",MOD(B331,12)=0),Input!$J$56,IF(AND(Input!$H$56="1st Installment",B331=1),Input!$J$56,IF(Input!$H$56="Monthly",Input!$J$56,""))),"")</f>
        <v/>
      </c>
      <c r="M331" s="6" t="str">
        <f>IF(B331&lt;&gt;"",IF(AND(Input!$H$57="Annual",MOD(B331,12)=0),Input!$J$57,IF(AND(Input!$H$57="1st Installment",B331=1),Input!$J$57,IF(Input!$H$57="Monthly",Input!$J$57,""))),"")</f>
        <v/>
      </c>
      <c r="N331" s="6" t="str">
        <f>IF(B331&lt;&gt;"",IF(AND(Input!$H$58="Annual",MOD(B331,12)=0),Input!$J$58,IF(AND(Input!$H$58="1st Installment",B331=1),Input!$J$58,IF(Input!$H$58="Monthly",Input!$J$58,IF(AND(Input!$H$58="End of the loan",B331=Input!$E$58),Input!$J$58,"")))),"")</f>
        <v/>
      </c>
      <c r="O331" s="6" t="str">
        <f t="shared" ref="O331:O365" si="50">IF(B331&lt;&gt;"",SUM(J331:N331),"")</f>
        <v/>
      </c>
      <c r="P331" s="4" t="str">
        <f t="shared" si="41"/>
        <v/>
      </c>
      <c r="T331" s="9" t="str">
        <f t="shared" si="42"/>
        <v/>
      </c>
      <c r="U331" s="5" t="str">
        <f t="shared" si="45"/>
        <v xml:space="preserve"> </v>
      </c>
    </row>
    <row r="332" spans="2:21">
      <c r="B332" s="16" t="str">
        <f t="shared" si="46"/>
        <v/>
      </c>
      <c r="C332" s="9" t="str">
        <f t="shared" si="47"/>
        <v/>
      </c>
      <c r="D332" s="6" t="str">
        <f>IFERROR((PPMT(Input!$E$55/12,B332,$C$6,Input!$E$54,-Input!$E$65,0))," ")</f>
        <v xml:space="preserve"> </v>
      </c>
      <c r="E332" s="6" t="str">
        <f>IFERROR(((IPMT(Input!$E$55/12,B332,$C$6,Input!$E$54,-Input!$E$65,0)))," ")</f>
        <v xml:space="preserve"> </v>
      </c>
      <c r="F332" s="6" t="str">
        <f t="shared" si="49"/>
        <v/>
      </c>
      <c r="G332" s="6" t="str">
        <f t="shared" si="48"/>
        <v/>
      </c>
      <c r="H332" s="6" t="str">
        <f t="shared" si="43"/>
        <v/>
      </c>
      <c r="I332" s="6" t="str">
        <f t="shared" si="44"/>
        <v/>
      </c>
      <c r="J332" s="6" t="str">
        <f>IF(B332&lt;&gt;"",IF(AND(Input!$H$54="Annual",MOD(B332,12)=0),Input!$J$54,IF(AND(Input!$H$54="1st Installment",B332=1),Input!$J$54,IF(Input!$H$54="Monthly",Input!$J$54,""))),"")</f>
        <v/>
      </c>
      <c r="K332" s="6" t="str">
        <f>IF(B332&lt;&gt;"",IF(AND(Input!$H$55="Annual",MOD(B332,12)=0),Input!$J$55,IF(AND(Input!$H$55="1st Installment",B332=1),Input!$J$55,IF(Input!$H$55="Monthly",Input!$J$55,""))),"")</f>
        <v/>
      </c>
      <c r="L332" s="6" t="str">
        <f>IF(B332&lt;&gt;"",IF(AND(Input!$H$56="Annual",MOD(B332,12)=0),Input!$J$56,IF(AND(Input!$H$56="1st Installment",B332=1),Input!$J$56,IF(Input!$H$56="Monthly",Input!$J$56,""))),"")</f>
        <v/>
      </c>
      <c r="M332" s="6" t="str">
        <f>IF(B332&lt;&gt;"",IF(AND(Input!$H$57="Annual",MOD(B332,12)=0),Input!$J$57,IF(AND(Input!$H$57="1st Installment",B332=1),Input!$J$57,IF(Input!$H$57="Monthly",Input!$J$57,""))),"")</f>
        <v/>
      </c>
      <c r="N332" s="6" t="str">
        <f>IF(B332&lt;&gt;"",IF(AND(Input!$H$58="Annual",MOD(B332,12)=0),Input!$J$58,IF(AND(Input!$H$58="1st Installment",B332=1),Input!$J$58,IF(Input!$H$58="Monthly",Input!$J$58,IF(AND(Input!$H$58="End of the loan",B332=Input!$E$58),Input!$J$58,"")))),"")</f>
        <v/>
      </c>
      <c r="O332" s="6" t="str">
        <f t="shared" si="50"/>
        <v/>
      </c>
      <c r="P332" s="4" t="str">
        <f t="shared" si="41"/>
        <v/>
      </c>
      <c r="T332" s="9" t="str">
        <f t="shared" si="42"/>
        <v/>
      </c>
      <c r="U332" s="5" t="str">
        <f t="shared" si="45"/>
        <v xml:space="preserve"> </v>
      </c>
    </row>
    <row r="333" spans="2:21">
      <c r="B333" s="16" t="str">
        <f t="shared" si="46"/>
        <v/>
      </c>
      <c r="C333" s="9" t="str">
        <f t="shared" si="47"/>
        <v/>
      </c>
      <c r="D333" s="6" t="str">
        <f>IFERROR((PPMT(Input!$E$55/12,B333,$C$6,Input!$E$54,-Input!$E$65,0))," ")</f>
        <v xml:space="preserve"> </v>
      </c>
      <c r="E333" s="6" t="str">
        <f>IFERROR(((IPMT(Input!$E$55/12,B333,$C$6,Input!$E$54,-Input!$E$65,0)))," ")</f>
        <v xml:space="preserve"> </v>
      </c>
      <c r="F333" s="6" t="str">
        <f t="shared" si="49"/>
        <v/>
      </c>
      <c r="G333" s="6" t="str">
        <f t="shared" si="48"/>
        <v/>
      </c>
      <c r="H333" s="6" t="str">
        <f t="shared" si="43"/>
        <v/>
      </c>
      <c r="I333" s="6" t="str">
        <f t="shared" si="44"/>
        <v/>
      </c>
      <c r="J333" s="6" t="str">
        <f>IF(B333&lt;&gt;"",IF(AND(Input!$H$54="Annual",MOD(B333,12)=0),Input!$J$54,IF(AND(Input!$H$54="1st Installment",B333=1),Input!$J$54,IF(Input!$H$54="Monthly",Input!$J$54,""))),"")</f>
        <v/>
      </c>
      <c r="K333" s="6" t="str">
        <f>IF(B333&lt;&gt;"",IF(AND(Input!$H$55="Annual",MOD(B333,12)=0),Input!$J$55,IF(AND(Input!$H$55="1st Installment",B333=1),Input!$J$55,IF(Input!$H$55="Monthly",Input!$J$55,""))),"")</f>
        <v/>
      </c>
      <c r="L333" s="6" t="str">
        <f>IF(B333&lt;&gt;"",IF(AND(Input!$H$56="Annual",MOD(B333,12)=0),Input!$J$56,IF(AND(Input!$H$56="1st Installment",B333=1),Input!$J$56,IF(Input!$H$56="Monthly",Input!$J$56,""))),"")</f>
        <v/>
      </c>
      <c r="M333" s="6" t="str">
        <f>IF(B333&lt;&gt;"",IF(AND(Input!$H$57="Annual",MOD(B333,12)=0),Input!$J$57,IF(AND(Input!$H$57="1st Installment",B333=1),Input!$J$57,IF(Input!$H$57="Monthly",Input!$J$57,""))),"")</f>
        <v/>
      </c>
      <c r="N333" s="6" t="str">
        <f>IF(B333&lt;&gt;"",IF(AND(Input!$H$58="Annual",MOD(B333,12)=0),Input!$J$58,IF(AND(Input!$H$58="1st Installment",B333=1),Input!$J$58,IF(Input!$H$58="Monthly",Input!$J$58,IF(AND(Input!$H$58="End of the loan",B333=Input!$E$58),Input!$J$58,"")))),"")</f>
        <v/>
      </c>
      <c r="O333" s="6" t="str">
        <f t="shared" si="50"/>
        <v/>
      </c>
      <c r="P333" s="4" t="str">
        <f t="shared" si="41"/>
        <v/>
      </c>
      <c r="T333" s="9" t="str">
        <f t="shared" si="42"/>
        <v/>
      </c>
      <c r="U333" s="5" t="str">
        <f t="shared" si="45"/>
        <v xml:space="preserve"> </v>
      </c>
    </row>
    <row r="334" spans="2:21">
      <c r="B334" s="16" t="str">
        <f t="shared" si="46"/>
        <v/>
      </c>
      <c r="C334" s="9" t="str">
        <f t="shared" si="47"/>
        <v/>
      </c>
      <c r="D334" s="6" t="str">
        <f>IFERROR((PPMT(Input!$E$55/12,B334,$C$6,Input!$E$54,-Input!$E$65,0))," ")</f>
        <v xml:space="preserve"> </v>
      </c>
      <c r="E334" s="6" t="str">
        <f>IFERROR(((IPMT(Input!$E$55/12,B334,$C$6,Input!$E$54,-Input!$E$65,0)))," ")</f>
        <v xml:space="preserve"> </v>
      </c>
      <c r="F334" s="6" t="str">
        <f t="shared" si="49"/>
        <v/>
      </c>
      <c r="G334" s="6" t="str">
        <f t="shared" si="48"/>
        <v/>
      </c>
      <c r="H334" s="6" t="str">
        <f t="shared" si="43"/>
        <v/>
      </c>
      <c r="I334" s="6" t="str">
        <f t="shared" si="44"/>
        <v/>
      </c>
      <c r="J334" s="6" t="str">
        <f>IF(B334&lt;&gt;"",IF(AND(Input!$H$54="Annual",MOD(B334,12)=0),Input!$J$54,IF(AND(Input!$H$54="1st Installment",B334=1),Input!$J$54,IF(Input!$H$54="Monthly",Input!$J$54,""))),"")</f>
        <v/>
      </c>
      <c r="K334" s="6" t="str">
        <f>IF(B334&lt;&gt;"",IF(AND(Input!$H$55="Annual",MOD(B334,12)=0),Input!$J$55,IF(AND(Input!$H$55="1st Installment",B334=1),Input!$J$55,IF(Input!$H$55="Monthly",Input!$J$55,""))),"")</f>
        <v/>
      </c>
      <c r="L334" s="6" t="str">
        <f>IF(B334&lt;&gt;"",IF(AND(Input!$H$56="Annual",MOD(B334,12)=0),Input!$J$56,IF(AND(Input!$H$56="1st Installment",B334=1),Input!$J$56,IF(Input!$H$56="Monthly",Input!$J$56,""))),"")</f>
        <v/>
      </c>
      <c r="M334" s="6" t="str">
        <f>IF(B334&lt;&gt;"",IF(AND(Input!$H$57="Annual",MOD(B334,12)=0),Input!$J$57,IF(AND(Input!$H$57="1st Installment",B334=1),Input!$J$57,IF(Input!$H$57="Monthly",Input!$J$57,""))),"")</f>
        <v/>
      </c>
      <c r="N334" s="6" t="str">
        <f>IF(B334&lt;&gt;"",IF(AND(Input!$H$58="Annual",MOD(B334,12)=0),Input!$J$58,IF(AND(Input!$H$58="1st Installment",B334=1),Input!$J$58,IF(Input!$H$58="Monthly",Input!$J$58,IF(AND(Input!$H$58="End of the loan",B334=Input!$E$58),Input!$J$58,"")))),"")</f>
        <v/>
      </c>
      <c r="O334" s="6" t="str">
        <f t="shared" si="50"/>
        <v/>
      </c>
      <c r="P334" s="4" t="str">
        <f t="shared" si="41"/>
        <v/>
      </c>
      <c r="T334" s="9" t="str">
        <f t="shared" si="42"/>
        <v/>
      </c>
      <c r="U334" s="5" t="str">
        <f t="shared" si="45"/>
        <v xml:space="preserve"> </v>
      </c>
    </row>
    <row r="335" spans="2:21">
      <c r="B335" s="16" t="str">
        <f t="shared" si="46"/>
        <v/>
      </c>
      <c r="C335" s="9" t="str">
        <f t="shared" si="47"/>
        <v/>
      </c>
      <c r="D335" s="6" t="str">
        <f>IFERROR((PPMT(Input!$E$55/12,B335,$C$6,Input!$E$54,-Input!$E$65,0))," ")</f>
        <v xml:space="preserve"> </v>
      </c>
      <c r="E335" s="6" t="str">
        <f>IFERROR(((IPMT(Input!$E$55/12,B335,$C$6,Input!$E$54,-Input!$E$65,0)))," ")</f>
        <v xml:space="preserve"> </v>
      </c>
      <c r="F335" s="6" t="str">
        <f t="shared" si="49"/>
        <v/>
      </c>
      <c r="G335" s="6" t="str">
        <f t="shared" si="48"/>
        <v/>
      </c>
      <c r="H335" s="6" t="str">
        <f t="shared" si="43"/>
        <v/>
      </c>
      <c r="I335" s="6" t="str">
        <f t="shared" si="44"/>
        <v/>
      </c>
      <c r="J335" s="6" t="str">
        <f>IF(B335&lt;&gt;"",IF(AND(Input!$H$54="Annual",MOD(B335,12)=0),Input!$J$54,IF(AND(Input!$H$54="1st Installment",B335=1),Input!$J$54,IF(Input!$H$54="Monthly",Input!$J$54,""))),"")</f>
        <v/>
      </c>
      <c r="K335" s="6" t="str">
        <f>IF(B335&lt;&gt;"",IF(AND(Input!$H$55="Annual",MOD(B335,12)=0),Input!$J$55,IF(AND(Input!$H$55="1st Installment",B335=1),Input!$J$55,IF(Input!$H$55="Monthly",Input!$J$55,""))),"")</f>
        <v/>
      </c>
      <c r="L335" s="6" t="str">
        <f>IF(B335&lt;&gt;"",IF(AND(Input!$H$56="Annual",MOD(B335,12)=0),Input!$J$56,IF(AND(Input!$H$56="1st Installment",B335=1),Input!$J$56,IF(Input!$H$56="Monthly",Input!$J$56,""))),"")</f>
        <v/>
      </c>
      <c r="M335" s="6" t="str">
        <f>IF(B335&lt;&gt;"",IF(AND(Input!$H$57="Annual",MOD(B335,12)=0),Input!$J$57,IF(AND(Input!$H$57="1st Installment",B335=1),Input!$J$57,IF(Input!$H$57="Monthly",Input!$J$57,""))),"")</f>
        <v/>
      </c>
      <c r="N335" s="6" t="str">
        <f>IF(B335&lt;&gt;"",IF(AND(Input!$H$58="Annual",MOD(B335,12)=0),Input!$J$58,IF(AND(Input!$H$58="1st Installment",B335=1),Input!$J$58,IF(Input!$H$58="Monthly",Input!$J$58,IF(AND(Input!$H$58="End of the loan",B335=Input!$E$58),Input!$J$58,"")))),"")</f>
        <v/>
      </c>
      <c r="O335" s="6" t="str">
        <f t="shared" si="50"/>
        <v/>
      </c>
      <c r="P335" s="4" t="str">
        <f t="shared" si="41"/>
        <v/>
      </c>
      <c r="T335" s="9" t="str">
        <f t="shared" si="42"/>
        <v/>
      </c>
      <c r="U335" s="5" t="str">
        <f t="shared" si="45"/>
        <v xml:space="preserve"> </v>
      </c>
    </row>
    <row r="336" spans="2:21">
      <c r="B336" s="16" t="str">
        <f t="shared" si="46"/>
        <v/>
      </c>
      <c r="C336" s="9" t="str">
        <f t="shared" si="47"/>
        <v/>
      </c>
      <c r="D336" s="6" t="str">
        <f>IFERROR((PPMT(Input!$E$55/12,B336,$C$6,Input!$E$54,-Input!$E$65,0))," ")</f>
        <v xml:space="preserve"> </v>
      </c>
      <c r="E336" s="6" t="str">
        <f>IFERROR(((IPMT(Input!$E$55/12,B336,$C$6,Input!$E$54,-Input!$E$65,0)))," ")</f>
        <v xml:space="preserve"> </v>
      </c>
      <c r="F336" s="6" t="str">
        <f t="shared" si="49"/>
        <v/>
      </c>
      <c r="G336" s="6" t="str">
        <f t="shared" si="48"/>
        <v/>
      </c>
      <c r="H336" s="6" t="str">
        <f t="shared" si="43"/>
        <v/>
      </c>
      <c r="I336" s="6" t="str">
        <f t="shared" si="44"/>
        <v/>
      </c>
      <c r="J336" s="6" t="str">
        <f>IF(B336&lt;&gt;"",IF(AND(Input!$H$54="Annual",MOD(B336,12)=0),Input!$J$54,IF(AND(Input!$H$54="1st Installment",B336=1),Input!$J$54,IF(Input!$H$54="Monthly",Input!$J$54,""))),"")</f>
        <v/>
      </c>
      <c r="K336" s="6" t="str">
        <f>IF(B336&lt;&gt;"",IF(AND(Input!$H$55="Annual",MOD(B336,12)=0),Input!$J$55,IF(AND(Input!$H$55="1st Installment",B336=1),Input!$J$55,IF(Input!$H$55="Monthly",Input!$J$55,""))),"")</f>
        <v/>
      </c>
      <c r="L336" s="6" t="str">
        <f>IF(B336&lt;&gt;"",IF(AND(Input!$H$56="Annual",MOD(B336,12)=0),Input!$J$56,IF(AND(Input!$H$56="1st Installment",B336=1),Input!$J$56,IF(Input!$H$56="Monthly",Input!$J$56,""))),"")</f>
        <v/>
      </c>
      <c r="M336" s="6" t="str">
        <f>IF(B336&lt;&gt;"",IF(AND(Input!$H$57="Annual",MOD(B336,12)=0),Input!$J$57,IF(AND(Input!$H$57="1st Installment",B336=1),Input!$J$57,IF(Input!$H$57="Monthly",Input!$J$57,""))),"")</f>
        <v/>
      </c>
      <c r="N336" s="6" t="str">
        <f>IF(B336&lt;&gt;"",IF(AND(Input!$H$58="Annual",MOD(B336,12)=0),Input!$J$58,IF(AND(Input!$H$58="1st Installment",B336=1),Input!$J$58,IF(Input!$H$58="Monthly",Input!$J$58,IF(AND(Input!$H$58="End of the loan",B336=Input!$E$58),Input!$J$58,"")))),"")</f>
        <v/>
      </c>
      <c r="O336" s="6" t="str">
        <f t="shared" si="50"/>
        <v/>
      </c>
      <c r="P336" s="4" t="str">
        <f t="shared" si="41"/>
        <v/>
      </c>
      <c r="T336" s="9" t="str">
        <f t="shared" si="42"/>
        <v/>
      </c>
      <c r="U336" s="5" t="str">
        <f t="shared" si="45"/>
        <v xml:space="preserve"> </v>
      </c>
    </row>
    <row r="337" spans="2:21">
      <c r="B337" s="16" t="str">
        <f t="shared" si="46"/>
        <v/>
      </c>
      <c r="C337" s="9" t="str">
        <f t="shared" si="47"/>
        <v/>
      </c>
      <c r="D337" s="6" t="str">
        <f>IFERROR((PPMT(Input!$E$55/12,B337,$C$6,Input!$E$54,-Input!$E$65,0))," ")</f>
        <v xml:space="preserve"> </v>
      </c>
      <c r="E337" s="6" t="str">
        <f>IFERROR(((IPMT(Input!$E$55/12,B337,$C$6,Input!$E$54,-Input!$E$65,0)))," ")</f>
        <v xml:space="preserve"> </v>
      </c>
      <c r="F337" s="6" t="str">
        <f t="shared" si="49"/>
        <v/>
      </c>
      <c r="G337" s="6" t="str">
        <f t="shared" si="48"/>
        <v/>
      </c>
      <c r="H337" s="6" t="str">
        <f t="shared" si="43"/>
        <v/>
      </c>
      <c r="I337" s="6" t="str">
        <f t="shared" si="44"/>
        <v/>
      </c>
      <c r="J337" s="6" t="str">
        <f>IF(B337&lt;&gt;"",IF(AND(Input!$H$54="Annual",MOD(B337,12)=0),Input!$J$54,IF(AND(Input!$H$54="1st Installment",B337=1),Input!$J$54,IF(Input!$H$54="Monthly",Input!$J$54,""))),"")</f>
        <v/>
      </c>
      <c r="K337" s="6" t="str">
        <f>IF(B337&lt;&gt;"",IF(AND(Input!$H$55="Annual",MOD(B337,12)=0),Input!$J$55,IF(AND(Input!$H$55="1st Installment",B337=1),Input!$J$55,IF(Input!$H$55="Monthly",Input!$J$55,""))),"")</f>
        <v/>
      </c>
      <c r="L337" s="6" t="str">
        <f>IF(B337&lt;&gt;"",IF(AND(Input!$H$56="Annual",MOD(B337,12)=0),Input!$J$56,IF(AND(Input!$H$56="1st Installment",B337=1),Input!$J$56,IF(Input!$H$56="Monthly",Input!$J$56,""))),"")</f>
        <v/>
      </c>
      <c r="M337" s="6" t="str">
        <f>IF(B337&lt;&gt;"",IF(AND(Input!$H$57="Annual",MOD(B337,12)=0),Input!$J$57,IF(AND(Input!$H$57="1st Installment",B337=1),Input!$J$57,IF(Input!$H$57="Monthly",Input!$J$57,""))),"")</f>
        <v/>
      </c>
      <c r="N337" s="6" t="str">
        <f>IF(B337&lt;&gt;"",IF(AND(Input!$H$58="Annual",MOD(B337,12)=0),Input!$J$58,IF(AND(Input!$H$58="1st Installment",B337=1),Input!$J$58,IF(Input!$H$58="Monthly",Input!$J$58,IF(AND(Input!$H$58="End of the loan",B337=Input!$E$58),Input!$J$58,"")))),"")</f>
        <v/>
      </c>
      <c r="O337" s="6" t="str">
        <f t="shared" si="50"/>
        <v/>
      </c>
      <c r="P337" s="4" t="str">
        <f t="shared" ref="P337:P385" si="51">IF(B337&lt;&gt;"",(-H337+O337),"")</f>
        <v/>
      </c>
      <c r="T337" s="9" t="str">
        <f t="shared" si="42"/>
        <v/>
      </c>
      <c r="U337" s="5" t="str">
        <f t="shared" si="45"/>
        <v xml:space="preserve"> </v>
      </c>
    </row>
    <row r="338" spans="2:21">
      <c r="B338" s="16" t="str">
        <f t="shared" si="46"/>
        <v/>
      </c>
      <c r="C338" s="9" t="str">
        <f t="shared" si="47"/>
        <v/>
      </c>
      <c r="D338" s="6" t="str">
        <f>IFERROR((PPMT(Input!$E$55/12,B338,$C$6,Input!$E$54,-Input!$E$65,0))," ")</f>
        <v xml:space="preserve"> </v>
      </c>
      <c r="E338" s="6" t="str">
        <f>IFERROR(((IPMT(Input!$E$55/12,B338,$C$6,Input!$E$54,-Input!$E$65,0)))," ")</f>
        <v xml:space="preserve"> </v>
      </c>
      <c r="F338" s="6" t="str">
        <f t="shared" si="49"/>
        <v/>
      </c>
      <c r="G338" s="6" t="str">
        <f t="shared" si="48"/>
        <v/>
      </c>
      <c r="H338" s="6" t="str">
        <f t="shared" si="43"/>
        <v/>
      </c>
      <c r="I338" s="6" t="str">
        <f t="shared" si="44"/>
        <v/>
      </c>
      <c r="J338" s="6" t="str">
        <f>IF(B338&lt;&gt;"",IF(AND(Input!$H$54="Annual",MOD(B338,12)=0),Input!$J$54,IF(AND(Input!$H$54="1st Installment",B338=1),Input!$J$54,IF(Input!$H$54="Monthly",Input!$J$54,""))),"")</f>
        <v/>
      </c>
      <c r="K338" s="6" t="str">
        <f>IF(B338&lt;&gt;"",IF(AND(Input!$H$55="Annual",MOD(B338,12)=0),Input!$J$55,IF(AND(Input!$H$55="1st Installment",B338=1),Input!$J$55,IF(Input!$H$55="Monthly",Input!$J$55,""))),"")</f>
        <v/>
      </c>
      <c r="L338" s="6" t="str">
        <f>IF(B338&lt;&gt;"",IF(AND(Input!$H$56="Annual",MOD(B338,12)=0),Input!$J$56,IF(AND(Input!$H$56="1st Installment",B338=1),Input!$J$56,IF(Input!$H$56="Monthly",Input!$J$56,""))),"")</f>
        <v/>
      </c>
      <c r="M338" s="6" t="str">
        <f>IF(B338&lt;&gt;"",IF(AND(Input!$H$57="Annual",MOD(B338,12)=0),Input!$J$57,IF(AND(Input!$H$57="1st Installment",B338=1),Input!$J$57,IF(Input!$H$57="Monthly",Input!$J$57,""))),"")</f>
        <v/>
      </c>
      <c r="N338" s="6" t="str">
        <f>IF(B338&lt;&gt;"",IF(AND(Input!$H$58="Annual",MOD(B338,12)=0),Input!$J$58,IF(AND(Input!$H$58="1st Installment",B338=1),Input!$J$58,IF(Input!$H$58="Monthly",Input!$J$58,IF(AND(Input!$H$58="End of the loan",B338=Input!$E$58),Input!$J$58,"")))),"")</f>
        <v/>
      </c>
      <c r="O338" s="6" t="str">
        <f t="shared" si="50"/>
        <v/>
      </c>
      <c r="P338" s="4" t="str">
        <f t="shared" si="51"/>
        <v/>
      </c>
      <c r="T338" s="9" t="str">
        <f t="shared" ref="T338:T385" si="52">C338</f>
        <v/>
      </c>
      <c r="U338" s="5" t="str">
        <f t="shared" si="45"/>
        <v xml:space="preserve"> </v>
      </c>
    </row>
    <row r="339" spans="2:21">
      <c r="B339" s="16" t="str">
        <f t="shared" si="46"/>
        <v/>
      </c>
      <c r="C339" s="9" t="str">
        <f t="shared" si="47"/>
        <v/>
      </c>
      <c r="D339" s="6" t="str">
        <f>IFERROR((PPMT(Input!$E$55/12,B339,$C$6,Input!$E$54,-Input!$E$65,0))," ")</f>
        <v xml:space="preserve"> </v>
      </c>
      <c r="E339" s="6" t="str">
        <f>IFERROR(((IPMT(Input!$E$55/12,B339,$C$6,Input!$E$54,-Input!$E$65,0)))," ")</f>
        <v xml:space="preserve"> </v>
      </c>
      <c r="F339" s="6" t="str">
        <f t="shared" si="49"/>
        <v/>
      </c>
      <c r="G339" s="6" t="str">
        <f t="shared" si="48"/>
        <v/>
      </c>
      <c r="H339" s="6" t="str">
        <f t="shared" ref="H339:H385" si="53">+IF(B339=$C$6+1,-$C$13,IFERROR(D339+E339,""))</f>
        <v/>
      </c>
      <c r="I339" s="6" t="str">
        <f t="shared" ref="I339:I375" si="54">+IFERROR($C$8+F339,"")</f>
        <v/>
      </c>
      <c r="J339" s="6" t="str">
        <f>IF(B339&lt;&gt;"",IF(AND(Input!$H$54="Annual",MOD(B339,12)=0),Input!$J$54,IF(AND(Input!$H$54="1st Installment",B339=1),Input!$J$54,IF(Input!$H$54="Monthly",Input!$J$54,""))),"")</f>
        <v/>
      </c>
      <c r="K339" s="6" t="str">
        <f>IF(B339&lt;&gt;"",IF(AND(Input!$H$55="Annual",MOD(B339,12)=0),Input!$J$55,IF(AND(Input!$H$55="1st Installment",B339=1),Input!$J$55,IF(Input!$H$55="Monthly",Input!$J$55,""))),"")</f>
        <v/>
      </c>
      <c r="L339" s="6" t="str">
        <f>IF(B339&lt;&gt;"",IF(AND(Input!$H$56="Annual",MOD(B339,12)=0),Input!$J$56,IF(AND(Input!$H$56="1st Installment",B339=1),Input!$J$56,IF(Input!$H$56="Monthly",Input!$J$56,""))),"")</f>
        <v/>
      </c>
      <c r="M339" s="6" t="str">
        <f>IF(B339&lt;&gt;"",IF(AND(Input!$H$57="Annual",MOD(B339,12)=0),Input!$J$57,IF(AND(Input!$H$57="1st Installment",B339=1),Input!$J$57,IF(Input!$H$57="Monthly",Input!$J$57,""))),"")</f>
        <v/>
      </c>
      <c r="N339" s="6" t="str">
        <f>IF(B339&lt;&gt;"",IF(AND(Input!$H$58="Annual",MOD(B339,12)=0),Input!$J$58,IF(AND(Input!$H$58="1st Installment",B339=1),Input!$J$58,IF(Input!$H$58="Monthly",Input!$J$58,IF(AND(Input!$H$58="End of the loan",B339=Input!$E$58),Input!$J$58,"")))),"")</f>
        <v/>
      </c>
      <c r="O339" s="6" t="str">
        <f t="shared" si="50"/>
        <v/>
      </c>
      <c r="P339" s="4" t="str">
        <f t="shared" si="51"/>
        <v/>
      </c>
      <c r="T339" s="9" t="str">
        <f t="shared" si="52"/>
        <v/>
      </c>
      <c r="U339" s="5" t="str">
        <f t="shared" ref="U339:U385" si="55">IFERROR(ROUND(_xlfn.IFNA(VLOOKUP(T339,$C$18:$P$385,14,0),0),2)," ")</f>
        <v xml:space="preserve"> </v>
      </c>
    </row>
    <row r="340" spans="2:21">
      <c r="B340" s="16" t="str">
        <f t="shared" ref="B340:B385" si="56">IF(B339="","",IF((B339+1)&lt;=$C$6+1,B339+1,""))</f>
        <v/>
      </c>
      <c r="C340" s="9" t="str">
        <f t="shared" ref="C340:C385" si="57">IF(B340="","",EDATE(C339,1))</f>
        <v/>
      </c>
      <c r="D340" s="6" t="str">
        <f>IFERROR((PPMT(Input!$E$55/12,B340,$C$6,Input!$E$54,-Input!$E$65,0))," ")</f>
        <v xml:space="preserve"> </v>
      </c>
      <c r="E340" s="6" t="str">
        <f>IFERROR(((IPMT(Input!$E$55/12,B340,$C$6,Input!$E$54,-Input!$E$65,0)))," ")</f>
        <v xml:space="preserve"> </v>
      </c>
      <c r="F340" s="6" t="str">
        <f t="shared" si="49"/>
        <v/>
      </c>
      <c r="G340" s="6" t="str">
        <f t="shared" ref="G340:G385" si="58">IF(B340&lt;=$C$6,G339+E340,"")</f>
        <v/>
      </c>
      <c r="H340" s="6" t="str">
        <f t="shared" si="53"/>
        <v/>
      </c>
      <c r="I340" s="6" t="str">
        <f t="shared" si="54"/>
        <v/>
      </c>
      <c r="J340" s="6" t="str">
        <f>IF(B340&lt;&gt;"",IF(AND(Input!$H$54="Annual",MOD(B340,12)=0),Input!$J$54,IF(AND(Input!$H$54="1st Installment",B340=1),Input!$J$54,IF(Input!$H$54="Monthly",Input!$J$54,""))),"")</f>
        <v/>
      </c>
      <c r="K340" s="6" t="str">
        <f>IF(B340&lt;&gt;"",IF(AND(Input!$H$55="Annual",MOD(B340,12)=0),Input!$J$55,IF(AND(Input!$H$55="1st Installment",B340=1),Input!$J$55,IF(Input!$H$55="Monthly",Input!$J$55,""))),"")</f>
        <v/>
      </c>
      <c r="L340" s="6" t="str">
        <f>IF(B340&lt;&gt;"",IF(AND(Input!$H$56="Annual",MOD(B340,12)=0),Input!$J$56,IF(AND(Input!$H$56="1st Installment",B340=1),Input!$J$56,IF(Input!$H$56="Monthly",Input!$J$56,""))),"")</f>
        <v/>
      </c>
      <c r="M340" s="6" t="str">
        <f>IF(B340&lt;&gt;"",IF(AND(Input!$H$57="Annual",MOD(B340,12)=0),Input!$J$57,IF(AND(Input!$H$57="1st Installment",B340=1),Input!$J$57,IF(Input!$H$57="Monthly",Input!$J$57,""))),"")</f>
        <v/>
      </c>
      <c r="N340" s="6" t="str">
        <f>IF(B340&lt;&gt;"",IF(AND(Input!$H$58="Annual",MOD(B340,12)=0),Input!$J$58,IF(AND(Input!$H$58="1st Installment",B340=1),Input!$J$58,IF(Input!$H$58="Monthly",Input!$J$58,IF(AND(Input!$H$58="End of the loan",B340=Input!$E$58),Input!$J$58,"")))),"")</f>
        <v/>
      </c>
      <c r="O340" s="6" t="str">
        <f t="shared" si="50"/>
        <v/>
      </c>
      <c r="P340" s="4" t="str">
        <f t="shared" si="51"/>
        <v/>
      </c>
      <c r="T340" s="9" t="str">
        <f t="shared" si="52"/>
        <v/>
      </c>
      <c r="U340" s="5" t="str">
        <f t="shared" si="55"/>
        <v xml:space="preserve"> </v>
      </c>
    </row>
    <row r="341" spans="2:21">
      <c r="B341" s="16" t="str">
        <f t="shared" si="56"/>
        <v/>
      </c>
      <c r="C341" s="9" t="str">
        <f t="shared" si="57"/>
        <v/>
      </c>
      <c r="D341" s="6" t="str">
        <f>IFERROR((PPMT(Input!$E$55/12,B341,$C$6,Input!$E$54,-Input!$E$65,0))," ")</f>
        <v xml:space="preserve"> </v>
      </c>
      <c r="E341" s="6" t="str">
        <f>IFERROR(((IPMT(Input!$E$55/12,B341,$C$6,Input!$E$54,-Input!$E$65,0)))," ")</f>
        <v xml:space="preserve"> </v>
      </c>
      <c r="F341" s="6" t="str">
        <f t="shared" ref="F341:F377" si="59">IF(B341&lt;=$C$6,F340+D341,"")</f>
        <v/>
      </c>
      <c r="G341" s="6" t="str">
        <f t="shared" si="58"/>
        <v/>
      </c>
      <c r="H341" s="6" t="str">
        <f t="shared" si="53"/>
        <v/>
      </c>
      <c r="I341" s="6" t="str">
        <f t="shared" si="54"/>
        <v/>
      </c>
      <c r="J341" s="6" t="str">
        <f>IF(B341&lt;&gt;"",IF(AND(Input!$H$54="Annual",MOD(B341,12)=0),Input!$J$54,IF(AND(Input!$H$54="1st Installment",B341=1),Input!$J$54,IF(Input!$H$54="Monthly",Input!$J$54,""))),"")</f>
        <v/>
      </c>
      <c r="K341" s="6" t="str">
        <f>IF(B341&lt;&gt;"",IF(AND(Input!$H$55="Annual",MOD(B341,12)=0),Input!$J$55,IF(AND(Input!$H$55="1st Installment",B341=1),Input!$J$55,IF(Input!$H$55="Monthly",Input!$J$55,""))),"")</f>
        <v/>
      </c>
      <c r="L341" s="6" t="str">
        <f>IF(B341&lt;&gt;"",IF(AND(Input!$H$56="Annual",MOD(B341,12)=0),Input!$J$56,IF(AND(Input!$H$56="1st Installment",B341=1),Input!$J$56,IF(Input!$H$56="Monthly",Input!$J$56,""))),"")</f>
        <v/>
      </c>
      <c r="M341" s="6" t="str">
        <f>IF(B341&lt;&gt;"",IF(AND(Input!$H$57="Annual",MOD(B341,12)=0),Input!$J$57,IF(AND(Input!$H$57="1st Installment",B341=1),Input!$J$57,IF(Input!$H$57="Monthly",Input!$J$57,""))),"")</f>
        <v/>
      </c>
      <c r="N341" s="6" t="str">
        <f>IF(B341&lt;&gt;"",IF(AND(Input!$H$58="Annual",MOD(B341,12)=0),Input!$J$58,IF(AND(Input!$H$58="1st Installment",B341=1),Input!$J$58,IF(Input!$H$58="Monthly",Input!$J$58,IF(AND(Input!$H$58="End of the loan",B341=Input!$E$58),Input!$J$58,"")))),"")</f>
        <v/>
      </c>
      <c r="O341" s="6" t="str">
        <f t="shared" si="50"/>
        <v/>
      </c>
      <c r="P341" s="4" t="str">
        <f t="shared" si="51"/>
        <v/>
      </c>
      <c r="T341" s="9" t="str">
        <f t="shared" si="52"/>
        <v/>
      </c>
      <c r="U341" s="5" t="str">
        <f t="shared" si="55"/>
        <v xml:space="preserve"> </v>
      </c>
    </row>
    <row r="342" spans="2:21">
      <c r="B342" s="16" t="str">
        <f t="shared" si="56"/>
        <v/>
      </c>
      <c r="C342" s="9" t="str">
        <f t="shared" si="57"/>
        <v/>
      </c>
      <c r="D342" s="6" t="str">
        <f>IFERROR((PPMT(Input!$E$55/12,B342,$C$6,Input!$E$54,-Input!$E$65,0))," ")</f>
        <v xml:space="preserve"> </v>
      </c>
      <c r="E342" s="6" t="str">
        <f>IFERROR(((IPMT(Input!$E$55/12,B342,$C$6,Input!$E$54,-Input!$E$65,0)))," ")</f>
        <v xml:space="preserve"> </v>
      </c>
      <c r="F342" s="6" t="str">
        <f t="shared" si="59"/>
        <v/>
      </c>
      <c r="G342" s="6" t="str">
        <f t="shared" si="58"/>
        <v/>
      </c>
      <c r="H342" s="6" t="str">
        <f t="shared" si="53"/>
        <v/>
      </c>
      <c r="I342" s="6" t="str">
        <f t="shared" si="54"/>
        <v/>
      </c>
      <c r="J342" s="6" t="str">
        <f>IF(B342&lt;&gt;"",IF(AND(Input!$H$54="Annual",MOD(B342,12)=0),Input!$J$54,IF(AND(Input!$H$54="1st Installment",B342=1),Input!$J$54,IF(Input!$H$54="Monthly",Input!$J$54,""))),"")</f>
        <v/>
      </c>
      <c r="K342" s="6" t="str">
        <f>IF(B342&lt;&gt;"",IF(AND(Input!$H$55="Annual",MOD(B342,12)=0),Input!$J$55,IF(AND(Input!$H$55="1st Installment",B342=1),Input!$J$55,IF(Input!$H$55="Monthly",Input!$J$55,""))),"")</f>
        <v/>
      </c>
      <c r="L342" s="6" t="str">
        <f>IF(B342&lt;&gt;"",IF(AND(Input!$H$56="Annual",MOD(B342,12)=0),Input!$J$56,IF(AND(Input!$H$56="1st Installment",B342=1),Input!$J$56,IF(Input!$H$56="Monthly",Input!$J$56,""))),"")</f>
        <v/>
      </c>
      <c r="M342" s="6" t="str">
        <f>IF(B342&lt;&gt;"",IF(AND(Input!$H$57="Annual",MOD(B342,12)=0),Input!$J$57,IF(AND(Input!$H$57="1st Installment",B342=1),Input!$J$57,IF(Input!$H$57="Monthly",Input!$J$57,""))),"")</f>
        <v/>
      </c>
      <c r="N342" s="6" t="str">
        <f>IF(B342&lt;&gt;"",IF(AND(Input!$H$58="Annual",MOD(B342,12)=0),Input!$J$58,IF(AND(Input!$H$58="1st Installment",B342=1),Input!$J$58,IF(Input!$H$58="Monthly",Input!$J$58,IF(AND(Input!$H$58="End of the loan",B342=Input!$E$58),Input!$J$58,"")))),"")</f>
        <v/>
      </c>
      <c r="O342" s="6" t="str">
        <f t="shared" si="50"/>
        <v/>
      </c>
      <c r="P342" s="4" t="str">
        <f t="shared" si="51"/>
        <v/>
      </c>
      <c r="T342" s="9" t="str">
        <f t="shared" si="52"/>
        <v/>
      </c>
      <c r="U342" s="5" t="str">
        <f t="shared" si="55"/>
        <v xml:space="preserve"> </v>
      </c>
    </row>
    <row r="343" spans="2:21">
      <c r="B343" s="16" t="str">
        <f t="shared" si="56"/>
        <v/>
      </c>
      <c r="C343" s="9" t="str">
        <f t="shared" si="57"/>
        <v/>
      </c>
      <c r="D343" s="6" t="str">
        <f>IFERROR((PPMT(Input!$E$55/12,B343,$C$6,Input!$E$54,-Input!$E$65,0))," ")</f>
        <v xml:space="preserve"> </v>
      </c>
      <c r="E343" s="6" t="str">
        <f>IFERROR(((IPMT(Input!$E$55/12,B343,$C$6,Input!$E$54,-Input!$E$65,0)))," ")</f>
        <v xml:space="preserve"> </v>
      </c>
      <c r="F343" s="6" t="str">
        <f t="shared" si="59"/>
        <v/>
      </c>
      <c r="G343" s="6" t="str">
        <f t="shared" si="58"/>
        <v/>
      </c>
      <c r="H343" s="6" t="str">
        <f t="shared" si="53"/>
        <v/>
      </c>
      <c r="I343" s="6" t="str">
        <f t="shared" si="54"/>
        <v/>
      </c>
      <c r="J343" s="6" t="str">
        <f>IF(B343&lt;&gt;"",IF(AND(Input!$H$54="Annual",MOD(B343,12)=0),Input!$J$54,IF(AND(Input!$H$54="1st Installment",B343=1),Input!$J$54,IF(Input!$H$54="Monthly",Input!$J$54,""))),"")</f>
        <v/>
      </c>
      <c r="K343" s="6" t="str">
        <f>IF(B343&lt;&gt;"",IF(AND(Input!$H$55="Annual",MOD(B343,12)=0),Input!$J$55,IF(AND(Input!$H$55="1st Installment",B343=1),Input!$J$55,IF(Input!$H$55="Monthly",Input!$J$55,""))),"")</f>
        <v/>
      </c>
      <c r="L343" s="6" t="str">
        <f>IF(B343&lt;&gt;"",IF(AND(Input!$H$56="Annual",MOD(B343,12)=0),Input!$J$56,IF(AND(Input!$H$56="1st Installment",B343=1),Input!$J$56,IF(Input!$H$56="Monthly",Input!$J$56,""))),"")</f>
        <v/>
      </c>
      <c r="M343" s="6" t="str">
        <f>IF(B343&lt;&gt;"",IF(AND(Input!$H$57="Annual",MOD(B343,12)=0),Input!$J$57,IF(AND(Input!$H$57="1st Installment",B343=1),Input!$J$57,IF(Input!$H$57="Monthly",Input!$J$57,""))),"")</f>
        <v/>
      </c>
      <c r="N343" s="6" t="str">
        <f>IF(B343&lt;&gt;"",IF(AND(Input!$H$58="Annual",MOD(B343,12)=0),Input!$J$58,IF(AND(Input!$H$58="1st Installment",B343=1),Input!$J$58,IF(Input!$H$58="Monthly",Input!$J$58,IF(AND(Input!$H$58="End of the loan",B343=Input!$E$58),Input!$J$58,"")))),"")</f>
        <v/>
      </c>
      <c r="O343" s="6" t="str">
        <f t="shared" si="50"/>
        <v/>
      </c>
      <c r="P343" s="4" t="str">
        <f t="shared" si="51"/>
        <v/>
      </c>
      <c r="T343" s="9" t="str">
        <f t="shared" si="52"/>
        <v/>
      </c>
      <c r="U343" s="5" t="str">
        <f t="shared" si="55"/>
        <v xml:space="preserve"> </v>
      </c>
    </row>
    <row r="344" spans="2:21">
      <c r="B344" s="16" t="str">
        <f t="shared" si="56"/>
        <v/>
      </c>
      <c r="C344" s="9" t="str">
        <f t="shared" si="57"/>
        <v/>
      </c>
      <c r="D344" s="6" t="str">
        <f>IFERROR((PPMT(Input!$E$55/12,B344,$C$6,Input!$E$54,-Input!$E$65,0))," ")</f>
        <v xml:space="preserve"> </v>
      </c>
      <c r="E344" s="6" t="str">
        <f>IFERROR(((IPMT(Input!$E$55/12,B344,$C$6,Input!$E$54,-Input!$E$65,0)))," ")</f>
        <v xml:space="preserve"> </v>
      </c>
      <c r="F344" s="6" t="str">
        <f t="shared" si="59"/>
        <v/>
      </c>
      <c r="G344" s="6" t="str">
        <f t="shared" si="58"/>
        <v/>
      </c>
      <c r="H344" s="6" t="str">
        <f t="shared" si="53"/>
        <v/>
      </c>
      <c r="I344" s="6" t="str">
        <f t="shared" si="54"/>
        <v/>
      </c>
      <c r="J344" s="6" t="str">
        <f>IF(B344&lt;&gt;"",IF(AND(Input!$H$54="Annual",MOD(B344,12)=0),Input!$J$54,IF(AND(Input!$H$54="1st Installment",B344=1),Input!$J$54,IF(Input!$H$54="Monthly",Input!$J$54,""))),"")</f>
        <v/>
      </c>
      <c r="K344" s="6" t="str">
        <f>IF(B344&lt;&gt;"",IF(AND(Input!$H$55="Annual",MOD(B344,12)=0),Input!$J$55,IF(AND(Input!$H$55="1st Installment",B344=1),Input!$J$55,IF(Input!$H$55="Monthly",Input!$J$55,""))),"")</f>
        <v/>
      </c>
      <c r="L344" s="6" t="str">
        <f>IF(B344&lt;&gt;"",IF(AND(Input!$H$56="Annual",MOD(B344,12)=0),Input!$J$56,IF(AND(Input!$H$56="1st Installment",B344=1),Input!$J$56,IF(Input!$H$56="Monthly",Input!$J$56,""))),"")</f>
        <v/>
      </c>
      <c r="M344" s="6" t="str">
        <f>IF(B344&lt;&gt;"",IF(AND(Input!$H$57="Annual",MOD(B344,12)=0),Input!$J$57,IF(AND(Input!$H$57="1st Installment",B344=1),Input!$J$57,IF(Input!$H$57="Monthly",Input!$J$57,""))),"")</f>
        <v/>
      </c>
      <c r="N344" s="6" t="str">
        <f>IF(B344&lt;&gt;"",IF(AND(Input!$H$58="Annual",MOD(B344,12)=0),Input!$J$58,IF(AND(Input!$H$58="1st Installment",B344=1),Input!$J$58,IF(Input!$H$58="Monthly",Input!$J$58,IF(AND(Input!$H$58="End of the loan",B344=Input!$E$58),Input!$J$58,"")))),"")</f>
        <v/>
      </c>
      <c r="O344" s="6" t="str">
        <f t="shared" si="50"/>
        <v/>
      </c>
      <c r="P344" s="4" t="str">
        <f t="shared" si="51"/>
        <v/>
      </c>
      <c r="T344" s="9" t="str">
        <f t="shared" si="52"/>
        <v/>
      </c>
      <c r="U344" s="5" t="str">
        <f t="shared" si="55"/>
        <v xml:space="preserve"> </v>
      </c>
    </row>
    <row r="345" spans="2:21">
      <c r="B345" s="16" t="str">
        <f t="shared" si="56"/>
        <v/>
      </c>
      <c r="C345" s="9" t="str">
        <f t="shared" si="57"/>
        <v/>
      </c>
      <c r="D345" s="6" t="str">
        <f>IFERROR((PPMT(Input!$E$55/12,B345,$C$6,Input!$E$54,-Input!$E$65,0))," ")</f>
        <v xml:space="preserve"> </v>
      </c>
      <c r="E345" s="6" t="str">
        <f>IFERROR(((IPMT(Input!$E$55/12,B345,$C$6,Input!$E$54,-Input!$E$65,0)))," ")</f>
        <v xml:space="preserve"> </v>
      </c>
      <c r="F345" s="6" t="str">
        <f t="shared" si="59"/>
        <v/>
      </c>
      <c r="G345" s="6" t="str">
        <f t="shared" si="58"/>
        <v/>
      </c>
      <c r="H345" s="6" t="str">
        <f t="shared" si="53"/>
        <v/>
      </c>
      <c r="I345" s="6" t="str">
        <f t="shared" si="54"/>
        <v/>
      </c>
      <c r="J345" s="6" t="str">
        <f>IF(B345&lt;&gt;"",IF(AND(Input!$H$54="Annual",MOD(B345,12)=0),Input!$J$54,IF(AND(Input!$H$54="1st Installment",B345=1),Input!$J$54,IF(Input!$H$54="Monthly",Input!$J$54,""))),"")</f>
        <v/>
      </c>
      <c r="K345" s="6" t="str">
        <f>IF(B345&lt;&gt;"",IF(AND(Input!$H$55="Annual",MOD(B345,12)=0),Input!$J$55,IF(AND(Input!$H$55="1st Installment",B345=1),Input!$J$55,IF(Input!$H$55="Monthly",Input!$J$55,""))),"")</f>
        <v/>
      </c>
      <c r="L345" s="6" t="str">
        <f>IF(B345&lt;&gt;"",IF(AND(Input!$H$56="Annual",MOD(B345,12)=0),Input!$J$56,IF(AND(Input!$H$56="1st Installment",B345=1),Input!$J$56,IF(Input!$H$56="Monthly",Input!$J$56,""))),"")</f>
        <v/>
      </c>
      <c r="M345" s="6" t="str">
        <f>IF(B345&lt;&gt;"",IF(AND(Input!$H$57="Annual",MOD(B345,12)=0),Input!$J$57,IF(AND(Input!$H$57="1st Installment",B345=1),Input!$J$57,IF(Input!$H$57="Monthly",Input!$J$57,""))),"")</f>
        <v/>
      </c>
      <c r="N345" s="6" t="str">
        <f>IF(B345&lt;&gt;"",IF(AND(Input!$H$58="Annual",MOD(B345,12)=0),Input!$J$58,IF(AND(Input!$H$58="1st Installment",B345=1),Input!$J$58,IF(Input!$H$58="Monthly",Input!$J$58,IF(AND(Input!$H$58="End of the loan",B345=Input!$E$58),Input!$J$58,"")))),"")</f>
        <v/>
      </c>
      <c r="O345" s="6" t="str">
        <f t="shared" si="50"/>
        <v/>
      </c>
      <c r="P345" s="4" t="str">
        <f t="shared" si="51"/>
        <v/>
      </c>
      <c r="T345" s="9" t="str">
        <f t="shared" si="52"/>
        <v/>
      </c>
      <c r="U345" s="5" t="str">
        <f t="shared" si="55"/>
        <v xml:space="preserve"> </v>
      </c>
    </row>
    <row r="346" spans="2:21">
      <c r="B346" s="16" t="str">
        <f t="shared" si="56"/>
        <v/>
      </c>
      <c r="C346" s="9" t="str">
        <f t="shared" si="57"/>
        <v/>
      </c>
      <c r="D346" s="6" t="str">
        <f>IFERROR((PPMT(Input!$E$55/12,B346,$C$6,Input!$E$54,-Input!$E$65,0))," ")</f>
        <v xml:space="preserve"> </v>
      </c>
      <c r="E346" s="6" t="str">
        <f>IFERROR(((IPMT(Input!$E$55/12,B346,$C$6,Input!$E$54,-Input!$E$65,0)))," ")</f>
        <v xml:space="preserve"> </v>
      </c>
      <c r="F346" s="6" t="str">
        <f t="shared" si="59"/>
        <v/>
      </c>
      <c r="G346" s="6" t="str">
        <f t="shared" si="58"/>
        <v/>
      </c>
      <c r="H346" s="6" t="str">
        <f t="shared" si="53"/>
        <v/>
      </c>
      <c r="I346" s="6" t="str">
        <f t="shared" si="54"/>
        <v/>
      </c>
      <c r="J346" s="6" t="str">
        <f>IF(B346&lt;&gt;"",IF(AND(Input!$H$54="Annual",MOD(B346,12)=0),Input!$J$54,IF(AND(Input!$H$54="1st Installment",B346=1),Input!$J$54,IF(Input!$H$54="Monthly",Input!$J$54,""))),"")</f>
        <v/>
      </c>
      <c r="K346" s="6" t="str">
        <f>IF(B346&lt;&gt;"",IF(AND(Input!$H$55="Annual",MOD(B346,12)=0),Input!$J$55,IF(AND(Input!$H$55="1st Installment",B346=1),Input!$J$55,IF(Input!$H$55="Monthly",Input!$J$55,""))),"")</f>
        <v/>
      </c>
      <c r="L346" s="6" t="str">
        <f>IF(B346&lt;&gt;"",IF(AND(Input!$H$56="Annual",MOD(B346,12)=0),Input!$J$56,IF(AND(Input!$H$56="1st Installment",B346=1),Input!$J$56,IF(Input!$H$56="Monthly",Input!$J$56,""))),"")</f>
        <v/>
      </c>
      <c r="M346" s="6" t="str">
        <f>IF(B346&lt;&gt;"",IF(AND(Input!$H$57="Annual",MOD(B346,12)=0),Input!$J$57,IF(AND(Input!$H$57="1st Installment",B346=1),Input!$J$57,IF(Input!$H$57="Monthly",Input!$J$57,""))),"")</f>
        <v/>
      </c>
      <c r="N346" s="6" t="str">
        <f>IF(B346&lt;&gt;"",IF(AND(Input!$H$58="Annual",MOD(B346,12)=0),Input!$J$58,IF(AND(Input!$H$58="1st Installment",B346=1),Input!$J$58,IF(Input!$H$58="Monthly",Input!$J$58,IF(AND(Input!$H$58="End of the loan",B346=Input!$E$58),Input!$J$58,"")))),"")</f>
        <v/>
      </c>
      <c r="O346" s="6" t="str">
        <f t="shared" si="50"/>
        <v/>
      </c>
      <c r="P346" s="4" t="str">
        <f t="shared" si="51"/>
        <v/>
      </c>
      <c r="T346" s="9" t="str">
        <f t="shared" si="52"/>
        <v/>
      </c>
      <c r="U346" s="5" t="str">
        <f t="shared" si="55"/>
        <v xml:space="preserve"> </v>
      </c>
    </row>
    <row r="347" spans="2:21">
      <c r="B347" s="16" t="str">
        <f t="shared" si="56"/>
        <v/>
      </c>
      <c r="C347" s="9" t="str">
        <f t="shared" si="57"/>
        <v/>
      </c>
      <c r="D347" s="6" t="str">
        <f>IFERROR((PPMT(Input!$E$55/12,B347,$C$6,Input!$E$54,-Input!$E$65,0))," ")</f>
        <v xml:space="preserve"> </v>
      </c>
      <c r="E347" s="6" t="str">
        <f>IFERROR(((IPMT(Input!$E$55/12,B347,$C$6,Input!$E$54,-Input!$E$65,0)))," ")</f>
        <v xml:space="preserve"> </v>
      </c>
      <c r="F347" s="6" t="str">
        <f t="shared" si="59"/>
        <v/>
      </c>
      <c r="G347" s="6" t="str">
        <f t="shared" si="58"/>
        <v/>
      </c>
      <c r="H347" s="6" t="str">
        <f t="shared" si="53"/>
        <v/>
      </c>
      <c r="I347" s="6" t="str">
        <f t="shared" si="54"/>
        <v/>
      </c>
      <c r="J347" s="6" t="str">
        <f>IF(B347&lt;&gt;"",IF(AND(Input!$H$54="Annual",MOD(B347,12)=0),Input!$J$54,IF(AND(Input!$H$54="1st Installment",B347=1),Input!$J$54,IF(Input!$H$54="Monthly",Input!$J$54,""))),"")</f>
        <v/>
      </c>
      <c r="K347" s="6" t="str">
        <f>IF(B347&lt;&gt;"",IF(AND(Input!$H$55="Annual",MOD(B347,12)=0),Input!$J$55,IF(AND(Input!$H$55="1st Installment",B347=1),Input!$J$55,IF(Input!$H$55="Monthly",Input!$J$55,""))),"")</f>
        <v/>
      </c>
      <c r="L347" s="6" t="str">
        <f>IF(B347&lt;&gt;"",IF(AND(Input!$H$56="Annual",MOD(B347,12)=0),Input!$J$56,IF(AND(Input!$H$56="1st Installment",B347=1),Input!$J$56,IF(Input!$H$56="Monthly",Input!$J$56,""))),"")</f>
        <v/>
      </c>
      <c r="M347" s="6" t="str">
        <f>IF(B347&lt;&gt;"",IF(AND(Input!$H$57="Annual",MOD(B347,12)=0),Input!$J$57,IF(AND(Input!$H$57="1st Installment",B347=1),Input!$J$57,IF(Input!$H$57="Monthly",Input!$J$57,""))),"")</f>
        <v/>
      </c>
      <c r="N347" s="6" t="str">
        <f>IF(B347&lt;&gt;"",IF(AND(Input!$H$58="Annual",MOD(B347,12)=0),Input!$J$58,IF(AND(Input!$H$58="1st Installment",B347=1),Input!$J$58,IF(Input!$H$58="Monthly",Input!$J$58,IF(AND(Input!$H$58="End of the loan",B347=Input!$E$58),Input!$J$58,"")))),"")</f>
        <v/>
      </c>
      <c r="O347" s="6" t="str">
        <f t="shared" si="50"/>
        <v/>
      </c>
      <c r="P347" s="4" t="str">
        <f t="shared" si="51"/>
        <v/>
      </c>
      <c r="T347" s="9" t="str">
        <f t="shared" si="52"/>
        <v/>
      </c>
      <c r="U347" s="5" t="str">
        <f t="shared" si="55"/>
        <v xml:space="preserve"> </v>
      </c>
    </row>
    <row r="348" spans="2:21">
      <c r="B348" s="16" t="str">
        <f t="shared" si="56"/>
        <v/>
      </c>
      <c r="C348" s="9" t="str">
        <f t="shared" si="57"/>
        <v/>
      </c>
      <c r="D348" s="6" t="str">
        <f>IFERROR((PPMT(Input!$E$55/12,B348,$C$6,Input!$E$54,-Input!$E$65,0))," ")</f>
        <v xml:space="preserve"> </v>
      </c>
      <c r="E348" s="6" t="str">
        <f>IFERROR(((IPMT(Input!$E$55/12,B348,$C$6,Input!$E$54,-Input!$E$65,0)))," ")</f>
        <v xml:space="preserve"> </v>
      </c>
      <c r="F348" s="6" t="str">
        <f t="shared" si="59"/>
        <v/>
      </c>
      <c r="G348" s="6" t="str">
        <f t="shared" si="58"/>
        <v/>
      </c>
      <c r="H348" s="6" t="str">
        <f t="shared" si="53"/>
        <v/>
      </c>
      <c r="I348" s="6" t="str">
        <f t="shared" si="54"/>
        <v/>
      </c>
      <c r="J348" s="6" t="str">
        <f>IF(B348&lt;&gt;"",IF(AND(Input!$H$54="Annual",MOD(B348,12)=0),Input!$J$54,IF(AND(Input!$H$54="1st Installment",B348=1),Input!$J$54,IF(Input!$H$54="Monthly",Input!$J$54,""))),"")</f>
        <v/>
      </c>
      <c r="K348" s="6" t="str">
        <f>IF(B348&lt;&gt;"",IF(AND(Input!$H$55="Annual",MOD(B348,12)=0),Input!$J$55,IF(AND(Input!$H$55="1st Installment",B348=1),Input!$J$55,IF(Input!$H$55="Monthly",Input!$J$55,""))),"")</f>
        <v/>
      </c>
      <c r="L348" s="6" t="str">
        <f>IF(B348&lt;&gt;"",IF(AND(Input!$H$56="Annual",MOD(B348,12)=0),Input!$J$56,IF(AND(Input!$H$56="1st Installment",B348=1),Input!$J$56,IF(Input!$H$56="Monthly",Input!$J$56,""))),"")</f>
        <v/>
      </c>
      <c r="M348" s="6" t="str">
        <f>IF(B348&lt;&gt;"",IF(AND(Input!$H$57="Annual",MOD(B348,12)=0),Input!$J$57,IF(AND(Input!$H$57="1st Installment",B348=1),Input!$J$57,IF(Input!$H$57="Monthly",Input!$J$57,""))),"")</f>
        <v/>
      </c>
      <c r="N348" s="6" t="str">
        <f>IF(B348&lt;&gt;"",IF(AND(Input!$H$58="Annual",MOD(B348,12)=0),Input!$J$58,IF(AND(Input!$H$58="1st Installment",B348=1),Input!$J$58,IF(Input!$H$58="Monthly",Input!$J$58,IF(AND(Input!$H$58="End of the loan",B348=Input!$E$58),Input!$J$58,"")))),"")</f>
        <v/>
      </c>
      <c r="O348" s="6" t="str">
        <f t="shared" si="50"/>
        <v/>
      </c>
      <c r="P348" s="4" t="str">
        <f t="shared" si="51"/>
        <v/>
      </c>
      <c r="T348" s="9" t="str">
        <f t="shared" si="52"/>
        <v/>
      </c>
      <c r="U348" s="5" t="str">
        <f t="shared" si="55"/>
        <v xml:space="preserve"> </v>
      </c>
    </row>
    <row r="349" spans="2:21">
      <c r="B349" s="16" t="str">
        <f t="shared" si="56"/>
        <v/>
      </c>
      <c r="C349" s="9" t="str">
        <f t="shared" si="57"/>
        <v/>
      </c>
      <c r="D349" s="6" t="str">
        <f>IFERROR((PPMT(Input!$E$55/12,B349,$C$6,Input!$E$54,-Input!$E$65,0))," ")</f>
        <v xml:space="preserve"> </v>
      </c>
      <c r="E349" s="6" t="str">
        <f>IFERROR(((IPMT(Input!$E$55/12,B349,$C$6,Input!$E$54,-Input!$E$65,0)))," ")</f>
        <v xml:space="preserve"> </v>
      </c>
      <c r="F349" s="6" t="str">
        <f t="shared" si="59"/>
        <v/>
      </c>
      <c r="G349" s="6" t="str">
        <f t="shared" si="58"/>
        <v/>
      </c>
      <c r="H349" s="6" t="str">
        <f t="shared" si="53"/>
        <v/>
      </c>
      <c r="I349" s="6" t="str">
        <f t="shared" si="54"/>
        <v/>
      </c>
      <c r="J349" s="6" t="str">
        <f>IF(B349&lt;&gt;"",IF(AND(Input!$H$54="Annual",MOD(B349,12)=0),Input!$J$54,IF(AND(Input!$H$54="1st Installment",B349=1),Input!$J$54,IF(Input!$H$54="Monthly",Input!$J$54,""))),"")</f>
        <v/>
      </c>
      <c r="K349" s="6" t="str">
        <f>IF(B349&lt;&gt;"",IF(AND(Input!$H$55="Annual",MOD(B349,12)=0),Input!$J$55,IF(AND(Input!$H$55="1st Installment",B349=1),Input!$J$55,IF(Input!$H$55="Monthly",Input!$J$55,""))),"")</f>
        <v/>
      </c>
      <c r="L349" s="6" t="str">
        <f>IF(B349&lt;&gt;"",IF(AND(Input!$H$56="Annual",MOD(B349,12)=0),Input!$J$56,IF(AND(Input!$H$56="1st Installment",B349=1),Input!$J$56,IF(Input!$H$56="Monthly",Input!$J$56,""))),"")</f>
        <v/>
      </c>
      <c r="M349" s="6" t="str">
        <f>IF(B349&lt;&gt;"",IF(AND(Input!$H$57="Annual",MOD(B349,12)=0),Input!$J$57,IF(AND(Input!$H$57="1st Installment",B349=1),Input!$J$57,IF(Input!$H$57="Monthly",Input!$J$57,""))),"")</f>
        <v/>
      </c>
      <c r="N349" s="6" t="str">
        <f>IF(B349&lt;&gt;"",IF(AND(Input!$H$58="Annual",MOD(B349,12)=0),Input!$J$58,IF(AND(Input!$H$58="1st Installment",B349=1),Input!$J$58,IF(Input!$H$58="Monthly",Input!$J$58,IF(AND(Input!$H$58="End of the loan",B349=Input!$E$58),Input!$J$58,"")))),"")</f>
        <v/>
      </c>
      <c r="O349" s="6" t="str">
        <f t="shared" si="50"/>
        <v/>
      </c>
      <c r="P349" s="4" t="str">
        <f t="shared" si="51"/>
        <v/>
      </c>
      <c r="T349" s="9" t="str">
        <f t="shared" si="52"/>
        <v/>
      </c>
      <c r="U349" s="5" t="str">
        <f t="shared" si="55"/>
        <v xml:space="preserve"> </v>
      </c>
    </row>
    <row r="350" spans="2:21">
      <c r="B350" s="16" t="str">
        <f t="shared" si="56"/>
        <v/>
      </c>
      <c r="C350" s="9" t="str">
        <f t="shared" si="57"/>
        <v/>
      </c>
      <c r="D350" s="6" t="str">
        <f>IFERROR((PPMT(Input!$E$55/12,B350,$C$6,Input!$E$54,-Input!$E$65,0))," ")</f>
        <v xml:space="preserve"> </v>
      </c>
      <c r="E350" s="6" t="str">
        <f>IFERROR(((IPMT(Input!$E$55/12,B350,$C$6,Input!$E$54,-Input!$E$65,0)))," ")</f>
        <v xml:space="preserve"> </v>
      </c>
      <c r="F350" s="6" t="str">
        <f t="shared" si="59"/>
        <v/>
      </c>
      <c r="G350" s="6" t="str">
        <f t="shared" si="58"/>
        <v/>
      </c>
      <c r="H350" s="6" t="str">
        <f t="shared" si="53"/>
        <v/>
      </c>
      <c r="I350" s="6" t="str">
        <f t="shared" si="54"/>
        <v/>
      </c>
      <c r="J350" s="6" t="str">
        <f>IF(B350&lt;&gt;"",IF(AND(Input!$H$54="Annual",MOD(B350,12)=0),Input!$J$54,IF(AND(Input!$H$54="1st Installment",B350=1),Input!$J$54,IF(Input!$H$54="Monthly",Input!$J$54,""))),"")</f>
        <v/>
      </c>
      <c r="K350" s="6" t="str">
        <f>IF(B350&lt;&gt;"",IF(AND(Input!$H$55="Annual",MOD(B350,12)=0),Input!$J$55,IF(AND(Input!$H$55="1st Installment",B350=1),Input!$J$55,IF(Input!$H$55="Monthly",Input!$J$55,""))),"")</f>
        <v/>
      </c>
      <c r="L350" s="6" t="str">
        <f>IF(B350&lt;&gt;"",IF(AND(Input!$H$56="Annual",MOD(B350,12)=0),Input!$J$56,IF(AND(Input!$H$56="1st Installment",B350=1),Input!$J$56,IF(Input!$H$56="Monthly",Input!$J$56,""))),"")</f>
        <v/>
      </c>
      <c r="M350" s="6" t="str">
        <f>IF(B350&lt;&gt;"",IF(AND(Input!$H$57="Annual",MOD(B350,12)=0),Input!$J$57,IF(AND(Input!$H$57="1st Installment",B350=1),Input!$J$57,IF(Input!$H$57="Monthly",Input!$J$57,""))),"")</f>
        <v/>
      </c>
      <c r="N350" s="6" t="str">
        <f>IF(B350&lt;&gt;"",IF(AND(Input!$H$58="Annual",MOD(B350,12)=0),Input!$J$58,IF(AND(Input!$H$58="1st Installment",B350=1),Input!$J$58,IF(Input!$H$58="Monthly",Input!$J$58,IF(AND(Input!$H$58="End of the loan",B350=Input!$E$58),Input!$J$58,"")))),"")</f>
        <v/>
      </c>
      <c r="O350" s="6" t="str">
        <f t="shared" si="50"/>
        <v/>
      </c>
      <c r="P350" s="4" t="str">
        <f t="shared" si="51"/>
        <v/>
      </c>
      <c r="T350" s="9" t="str">
        <f t="shared" si="52"/>
        <v/>
      </c>
      <c r="U350" s="5" t="str">
        <f t="shared" si="55"/>
        <v xml:space="preserve"> </v>
      </c>
    </row>
    <row r="351" spans="2:21">
      <c r="B351" s="16" t="str">
        <f t="shared" si="56"/>
        <v/>
      </c>
      <c r="C351" s="9" t="str">
        <f t="shared" si="57"/>
        <v/>
      </c>
      <c r="D351" s="6" t="str">
        <f>IFERROR((PPMT(Input!$E$55/12,B351,$C$6,Input!$E$54,-Input!$E$65,0))," ")</f>
        <v xml:space="preserve"> </v>
      </c>
      <c r="E351" s="6" t="str">
        <f>IFERROR(((IPMT(Input!$E$55/12,B351,$C$6,Input!$E$54,-Input!$E$65,0)))," ")</f>
        <v xml:space="preserve"> </v>
      </c>
      <c r="F351" s="6" t="str">
        <f t="shared" si="59"/>
        <v/>
      </c>
      <c r="G351" s="6" t="str">
        <f t="shared" si="58"/>
        <v/>
      </c>
      <c r="H351" s="6" t="str">
        <f t="shared" si="53"/>
        <v/>
      </c>
      <c r="I351" s="6" t="str">
        <f t="shared" si="54"/>
        <v/>
      </c>
      <c r="J351" s="6" t="str">
        <f>IF(B351&lt;&gt;"",IF(AND(Input!$H$54="Annual",MOD(B351,12)=0),Input!$J$54,IF(AND(Input!$H$54="1st Installment",B351=1),Input!$J$54,IF(Input!$H$54="Monthly",Input!$J$54,""))),"")</f>
        <v/>
      </c>
      <c r="K351" s="6" t="str">
        <f>IF(B351&lt;&gt;"",IF(AND(Input!$H$55="Annual",MOD(B351,12)=0),Input!$J$55,IF(AND(Input!$H$55="1st Installment",B351=1),Input!$J$55,IF(Input!$H$55="Monthly",Input!$J$55,""))),"")</f>
        <v/>
      </c>
      <c r="L351" s="6" t="str">
        <f>IF(B351&lt;&gt;"",IF(AND(Input!$H$56="Annual",MOD(B351,12)=0),Input!$J$56,IF(AND(Input!$H$56="1st Installment",B351=1),Input!$J$56,IF(Input!$H$56="Monthly",Input!$J$56,""))),"")</f>
        <v/>
      </c>
      <c r="M351" s="6" t="str">
        <f>IF(B351&lt;&gt;"",IF(AND(Input!$H$57="Annual",MOD(B351,12)=0),Input!$J$57,IF(AND(Input!$H$57="1st Installment",B351=1),Input!$J$57,IF(Input!$H$57="Monthly",Input!$J$57,""))),"")</f>
        <v/>
      </c>
      <c r="N351" s="6" t="str">
        <f>IF(B351&lt;&gt;"",IF(AND(Input!$H$58="Annual",MOD(B351,12)=0),Input!$J$58,IF(AND(Input!$H$58="1st Installment",B351=1),Input!$J$58,IF(Input!$H$58="Monthly",Input!$J$58,IF(AND(Input!$H$58="End of the loan",B351=Input!$E$58),Input!$J$58,"")))),"")</f>
        <v/>
      </c>
      <c r="O351" s="6" t="str">
        <f t="shared" si="50"/>
        <v/>
      </c>
      <c r="P351" s="4" t="str">
        <f t="shared" si="51"/>
        <v/>
      </c>
      <c r="T351" s="9" t="str">
        <f t="shared" si="52"/>
        <v/>
      </c>
      <c r="U351" s="5" t="str">
        <f t="shared" si="55"/>
        <v xml:space="preserve"> </v>
      </c>
    </row>
    <row r="352" spans="2:21">
      <c r="B352" s="16" t="str">
        <f t="shared" si="56"/>
        <v/>
      </c>
      <c r="C352" s="9" t="str">
        <f t="shared" si="57"/>
        <v/>
      </c>
      <c r="D352" s="6" t="str">
        <f>IFERROR((PPMT(Input!$E$55/12,B352,$C$6,Input!$E$54,-Input!$E$65,0))," ")</f>
        <v xml:space="preserve"> </v>
      </c>
      <c r="E352" s="6" t="str">
        <f>IFERROR(((IPMT(Input!$E$55/12,B352,$C$6,Input!$E$54,-Input!$E$65,0)))," ")</f>
        <v xml:space="preserve"> </v>
      </c>
      <c r="F352" s="6" t="str">
        <f t="shared" si="59"/>
        <v/>
      </c>
      <c r="G352" s="6" t="str">
        <f t="shared" si="58"/>
        <v/>
      </c>
      <c r="H352" s="6" t="str">
        <f t="shared" si="53"/>
        <v/>
      </c>
      <c r="I352" s="6" t="str">
        <f t="shared" si="54"/>
        <v/>
      </c>
      <c r="J352" s="6" t="str">
        <f>IF(B352&lt;&gt;"",IF(AND(Input!$H$54="Annual",MOD(B352,12)=0),Input!$J$54,IF(AND(Input!$H$54="1st Installment",B352=1),Input!$J$54,IF(Input!$H$54="Monthly",Input!$J$54,""))),"")</f>
        <v/>
      </c>
      <c r="K352" s="6" t="str">
        <f>IF(B352&lt;&gt;"",IF(AND(Input!$H$55="Annual",MOD(B352,12)=0),Input!$J$55,IF(AND(Input!$H$55="1st Installment",B352=1),Input!$J$55,IF(Input!$H$55="Monthly",Input!$J$55,""))),"")</f>
        <v/>
      </c>
      <c r="L352" s="6" t="str">
        <f>IF(B352&lt;&gt;"",IF(AND(Input!$H$56="Annual",MOD(B352,12)=0),Input!$J$56,IF(AND(Input!$H$56="1st Installment",B352=1),Input!$J$56,IF(Input!$H$56="Monthly",Input!$J$56,""))),"")</f>
        <v/>
      </c>
      <c r="M352" s="6" t="str">
        <f>IF(B352&lt;&gt;"",IF(AND(Input!$H$57="Annual",MOD(B352,12)=0),Input!$J$57,IF(AND(Input!$H$57="1st Installment",B352=1),Input!$J$57,IF(Input!$H$57="Monthly",Input!$J$57,""))),"")</f>
        <v/>
      </c>
      <c r="N352" s="6" t="str">
        <f>IF(B352&lt;&gt;"",IF(AND(Input!$H$58="Annual",MOD(B352,12)=0),Input!$J$58,IF(AND(Input!$H$58="1st Installment",B352=1),Input!$J$58,IF(Input!$H$58="Monthly",Input!$J$58,IF(AND(Input!$H$58="End of the loan",B352=Input!$E$58),Input!$J$58,"")))),"")</f>
        <v/>
      </c>
      <c r="O352" s="6" t="str">
        <f t="shared" si="50"/>
        <v/>
      </c>
      <c r="P352" s="4" t="str">
        <f t="shared" si="51"/>
        <v/>
      </c>
      <c r="T352" s="9" t="str">
        <f t="shared" si="52"/>
        <v/>
      </c>
      <c r="U352" s="5" t="str">
        <f t="shared" si="55"/>
        <v xml:space="preserve"> </v>
      </c>
    </row>
    <row r="353" spans="2:21">
      <c r="B353" s="16" t="str">
        <f t="shared" si="56"/>
        <v/>
      </c>
      <c r="C353" s="9" t="str">
        <f t="shared" si="57"/>
        <v/>
      </c>
      <c r="D353" s="6" t="str">
        <f>IFERROR((PPMT(Input!$E$55/12,B353,$C$6,Input!$E$54,-Input!$E$65,0))," ")</f>
        <v xml:space="preserve"> </v>
      </c>
      <c r="E353" s="6" t="str">
        <f>IFERROR(((IPMT(Input!$E$55/12,B353,$C$6,Input!$E$54,-Input!$E$65,0)))," ")</f>
        <v xml:space="preserve"> </v>
      </c>
      <c r="F353" s="6" t="str">
        <f t="shared" si="59"/>
        <v/>
      </c>
      <c r="G353" s="6" t="str">
        <f t="shared" si="58"/>
        <v/>
      </c>
      <c r="H353" s="6" t="str">
        <f t="shared" si="53"/>
        <v/>
      </c>
      <c r="I353" s="6" t="str">
        <f t="shared" si="54"/>
        <v/>
      </c>
      <c r="J353" s="6" t="str">
        <f>IF(B353&lt;&gt;"",IF(AND(Input!$H$54="Annual",MOD(B353,12)=0),Input!$J$54,IF(AND(Input!$H$54="1st Installment",B353=1),Input!$J$54,IF(Input!$H$54="Monthly",Input!$J$54,""))),"")</f>
        <v/>
      </c>
      <c r="K353" s="6" t="str">
        <f>IF(B353&lt;&gt;"",IF(AND(Input!$H$55="Annual",MOD(B353,12)=0),Input!$J$55,IF(AND(Input!$H$55="1st Installment",B353=1),Input!$J$55,IF(Input!$H$55="Monthly",Input!$J$55,""))),"")</f>
        <v/>
      </c>
      <c r="L353" s="6" t="str">
        <f>IF(B353&lt;&gt;"",IF(AND(Input!$H$56="Annual",MOD(B353,12)=0),Input!$J$56,IF(AND(Input!$H$56="1st Installment",B353=1),Input!$J$56,IF(Input!$H$56="Monthly",Input!$J$56,""))),"")</f>
        <v/>
      </c>
      <c r="M353" s="6" t="str">
        <f>IF(B353&lt;&gt;"",IF(AND(Input!$H$57="Annual",MOD(B353,12)=0),Input!$J$57,IF(AND(Input!$H$57="1st Installment",B353=1),Input!$J$57,IF(Input!$H$57="Monthly",Input!$J$57,""))),"")</f>
        <v/>
      </c>
      <c r="N353" s="6" t="str">
        <f>IF(B353&lt;&gt;"",IF(AND(Input!$H$58="Annual",MOD(B353,12)=0),Input!$J$58,IF(AND(Input!$H$58="1st Installment",B353=1),Input!$J$58,IF(Input!$H$58="Monthly",Input!$J$58,IF(AND(Input!$H$58="End of the loan",B353=Input!$E$58),Input!$J$58,"")))),"")</f>
        <v/>
      </c>
      <c r="O353" s="6" t="str">
        <f t="shared" si="50"/>
        <v/>
      </c>
      <c r="P353" s="4" t="str">
        <f t="shared" si="51"/>
        <v/>
      </c>
      <c r="T353" s="9" t="str">
        <f t="shared" si="52"/>
        <v/>
      </c>
      <c r="U353" s="5" t="str">
        <f t="shared" si="55"/>
        <v xml:space="preserve"> </v>
      </c>
    </row>
    <row r="354" spans="2:21">
      <c r="B354" s="16" t="str">
        <f t="shared" si="56"/>
        <v/>
      </c>
      <c r="C354" s="9" t="str">
        <f t="shared" si="57"/>
        <v/>
      </c>
      <c r="D354" s="6" t="str">
        <f>IFERROR((PPMT(Input!$E$55/12,B354,$C$6,Input!$E$54,-Input!$E$65,0))," ")</f>
        <v xml:space="preserve"> </v>
      </c>
      <c r="E354" s="6" t="str">
        <f>IFERROR(((IPMT(Input!$E$55/12,B354,$C$6,Input!$E$54,-Input!$E$65,0)))," ")</f>
        <v xml:space="preserve"> </v>
      </c>
      <c r="F354" s="6" t="str">
        <f t="shared" si="59"/>
        <v/>
      </c>
      <c r="G354" s="6" t="str">
        <f t="shared" si="58"/>
        <v/>
      </c>
      <c r="H354" s="6" t="str">
        <f t="shared" si="53"/>
        <v/>
      </c>
      <c r="I354" s="6" t="str">
        <f t="shared" si="54"/>
        <v/>
      </c>
      <c r="J354" s="6" t="str">
        <f>IF(B354&lt;&gt;"",IF(AND(Input!$H$54="Annual",MOD(B354,12)=0),Input!$J$54,IF(AND(Input!$H$54="1st Installment",B354=1),Input!$J$54,IF(Input!$H$54="Monthly",Input!$J$54,""))),"")</f>
        <v/>
      </c>
      <c r="K354" s="6" t="str">
        <f>IF(B354&lt;&gt;"",IF(AND(Input!$H$55="Annual",MOD(B354,12)=0),Input!$J$55,IF(AND(Input!$H$55="1st Installment",B354=1),Input!$J$55,IF(Input!$H$55="Monthly",Input!$J$55,""))),"")</f>
        <v/>
      </c>
      <c r="L354" s="6" t="str">
        <f>IF(B354&lt;&gt;"",IF(AND(Input!$H$56="Annual",MOD(B354,12)=0),Input!$J$56,IF(AND(Input!$H$56="1st Installment",B354=1),Input!$J$56,IF(Input!$H$56="Monthly",Input!$J$56,""))),"")</f>
        <v/>
      </c>
      <c r="M354" s="6" t="str">
        <f>IF(B354&lt;&gt;"",IF(AND(Input!$H$57="Annual",MOD(B354,12)=0),Input!$J$57,IF(AND(Input!$H$57="1st Installment",B354=1),Input!$J$57,IF(Input!$H$57="Monthly",Input!$J$57,""))),"")</f>
        <v/>
      </c>
      <c r="N354" s="6" t="str">
        <f>IF(B354&lt;&gt;"",IF(AND(Input!$H$58="Annual",MOD(B354,12)=0),Input!$J$58,IF(AND(Input!$H$58="1st Installment",B354=1),Input!$J$58,IF(Input!$H$58="Monthly",Input!$J$58,IF(AND(Input!$H$58="End of the loan",B354=Input!$E$58),Input!$J$58,"")))),"")</f>
        <v/>
      </c>
      <c r="O354" s="6" t="str">
        <f t="shared" si="50"/>
        <v/>
      </c>
      <c r="P354" s="4" t="str">
        <f t="shared" si="51"/>
        <v/>
      </c>
      <c r="T354" s="9" t="str">
        <f t="shared" si="52"/>
        <v/>
      </c>
      <c r="U354" s="5" t="str">
        <f t="shared" si="55"/>
        <v xml:space="preserve"> </v>
      </c>
    </row>
    <row r="355" spans="2:21">
      <c r="B355" s="16" t="str">
        <f t="shared" si="56"/>
        <v/>
      </c>
      <c r="C355" s="9" t="str">
        <f t="shared" si="57"/>
        <v/>
      </c>
      <c r="D355" s="6" t="str">
        <f>IFERROR((PPMT(Input!$E$55/12,B355,$C$6,Input!$E$54,-Input!$E$65,0))," ")</f>
        <v xml:space="preserve"> </v>
      </c>
      <c r="E355" s="6" t="str">
        <f>IFERROR(((IPMT(Input!$E$55/12,B355,$C$6,Input!$E$54,-Input!$E$65,0)))," ")</f>
        <v xml:space="preserve"> </v>
      </c>
      <c r="F355" s="6" t="str">
        <f t="shared" si="59"/>
        <v/>
      </c>
      <c r="G355" s="6" t="str">
        <f t="shared" si="58"/>
        <v/>
      </c>
      <c r="H355" s="6" t="str">
        <f t="shared" si="53"/>
        <v/>
      </c>
      <c r="I355" s="6" t="str">
        <f t="shared" si="54"/>
        <v/>
      </c>
      <c r="J355" s="6" t="str">
        <f>IF(B355&lt;&gt;"",IF(AND(Input!$H$54="Annual",MOD(B355,12)=0),Input!$J$54,IF(AND(Input!$H$54="1st Installment",B355=1),Input!$J$54,IF(Input!$H$54="Monthly",Input!$J$54,""))),"")</f>
        <v/>
      </c>
      <c r="K355" s="6" t="str">
        <f>IF(B355&lt;&gt;"",IF(AND(Input!$H$55="Annual",MOD(B355,12)=0),Input!$J$55,IF(AND(Input!$H$55="1st Installment",B355=1),Input!$J$55,IF(Input!$H$55="Monthly",Input!$J$55,""))),"")</f>
        <v/>
      </c>
      <c r="L355" s="6" t="str">
        <f>IF(B355&lt;&gt;"",IF(AND(Input!$H$56="Annual",MOD(B355,12)=0),Input!$J$56,IF(AND(Input!$H$56="1st Installment",B355=1),Input!$J$56,IF(Input!$H$56="Monthly",Input!$J$56,""))),"")</f>
        <v/>
      </c>
      <c r="M355" s="6" t="str">
        <f>IF(B355&lt;&gt;"",IF(AND(Input!$H$57="Annual",MOD(B355,12)=0),Input!$J$57,IF(AND(Input!$H$57="1st Installment",B355=1),Input!$J$57,IF(Input!$H$57="Monthly",Input!$J$57,""))),"")</f>
        <v/>
      </c>
      <c r="N355" s="6" t="str">
        <f>IF(B355&lt;&gt;"",IF(AND(Input!$H$58="Annual",MOD(B355,12)=0),Input!$J$58,IF(AND(Input!$H$58="1st Installment",B355=1),Input!$J$58,IF(Input!$H$58="Monthly",Input!$J$58,IF(AND(Input!$H$58="End of the loan",B355=Input!$E$58),Input!$J$58,"")))),"")</f>
        <v/>
      </c>
      <c r="O355" s="6" t="str">
        <f t="shared" si="50"/>
        <v/>
      </c>
      <c r="P355" s="4" t="str">
        <f t="shared" si="51"/>
        <v/>
      </c>
      <c r="T355" s="9" t="str">
        <f t="shared" si="52"/>
        <v/>
      </c>
      <c r="U355" s="5" t="str">
        <f t="shared" si="55"/>
        <v xml:space="preserve"> </v>
      </c>
    </row>
    <row r="356" spans="2:21">
      <c r="B356" s="16" t="str">
        <f t="shared" si="56"/>
        <v/>
      </c>
      <c r="C356" s="9" t="str">
        <f t="shared" si="57"/>
        <v/>
      </c>
      <c r="D356" s="6" t="str">
        <f>IFERROR((PPMT(Input!$E$55/12,B356,$C$6,Input!$E$54,-Input!$E$65,0))," ")</f>
        <v xml:space="preserve"> </v>
      </c>
      <c r="E356" s="6" t="str">
        <f>IFERROR(((IPMT(Input!$E$55/12,B356,$C$6,Input!$E$54,-Input!$E$65,0)))," ")</f>
        <v xml:space="preserve"> </v>
      </c>
      <c r="F356" s="6" t="str">
        <f t="shared" si="59"/>
        <v/>
      </c>
      <c r="G356" s="6" t="str">
        <f t="shared" si="58"/>
        <v/>
      </c>
      <c r="H356" s="6" t="str">
        <f t="shared" si="53"/>
        <v/>
      </c>
      <c r="I356" s="6" t="str">
        <f t="shared" si="54"/>
        <v/>
      </c>
      <c r="J356" s="6" t="str">
        <f>IF(B356&lt;&gt;"",IF(AND(Input!$H$54="Annual",MOD(B356,12)=0),Input!$J$54,IF(AND(Input!$H$54="1st Installment",B356=1),Input!$J$54,IF(Input!$H$54="Monthly",Input!$J$54,""))),"")</f>
        <v/>
      </c>
      <c r="K356" s="6" t="str">
        <f>IF(B356&lt;&gt;"",IF(AND(Input!$H$55="Annual",MOD(B356,12)=0),Input!$J$55,IF(AND(Input!$H$55="1st Installment",B356=1),Input!$J$55,IF(Input!$H$55="Monthly",Input!$J$55,""))),"")</f>
        <v/>
      </c>
      <c r="L356" s="6" t="str">
        <f>IF(B356&lt;&gt;"",IF(AND(Input!$H$56="Annual",MOD(B356,12)=0),Input!$J$56,IF(AND(Input!$H$56="1st Installment",B356=1),Input!$J$56,IF(Input!$H$56="Monthly",Input!$J$56,""))),"")</f>
        <v/>
      </c>
      <c r="M356" s="6" t="str">
        <f>IF(B356&lt;&gt;"",IF(AND(Input!$H$57="Annual",MOD(B356,12)=0),Input!$J$57,IF(AND(Input!$H$57="1st Installment",B356=1),Input!$J$57,IF(Input!$H$57="Monthly",Input!$J$57,""))),"")</f>
        <v/>
      </c>
      <c r="N356" s="6" t="str">
        <f>IF(B356&lt;&gt;"",IF(AND(Input!$H$58="Annual",MOD(B356,12)=0),Input!$J$58,IF(AND(Input!$H$58="1st Installment",B356=1),Input!$J$58,IF(Input!$H$58="Monthly",Input!$J$58,IF(AND(Input!$H$58="End of the loan",B356=Input!$E$58),Input!$J$58,"")))),"")</f>
        <v/>
      </c>
      <c r="O356" s="6" t="str">
        <f t="shared" si="50"/>
        <v/>
      </c>
      <c r="P356" s="4" t="str">
        <f t="shared" si="51"/>
        <v/>
      </c>
      <c r="T356" s="9" t="str">
        <f t="shared" si="52"/>
        <v/>
      </c>
      <c r="U356" s="5" t="str">
        <f t="shared" si="55"/>
        <v xml:space="preserve"> </v>
      </c>
    </row>
    <row r="357" spans="2:21">
      <c r="B357" s="16" t="str">
        <f t="shared" si="56"/>
        <v/>
      </c>
      <c r="C357" s="9" t="str">
        <f t="shared" si="57"/>
        <v/>
      </c>
      <c r="D357" s="6" t="str">
        <f>IFERROR((PPMT(Input!$E$55/12,B357,$C$6,Input!$E$54,-Input!$E$65,0))," ")</f>
        <v xml:space="preserve"> </v>
      </c>
      <c r="E357" s="6" t="str">
        <f>IFERROR(((IPMT(Input!$E$55/12,B357,$C$6,Input!$E$54,-Input!$E$65,0)))," ")</f>
        <v xml:space="preserve"> </v>
      </c>
      <c r="F357" s="6" t="str">
        <f t="shared" si="59"/>
        <v/>
      </c>
      <c r="G357" s="6" t="str">
        <f t="shared" si="58"/>
        <v/>
      </c>
      <c r="H357" s="6" t="str">
        <f t="shared" si="53"/>
        <v/>
      </c>
      <c r="I357" s="6" t="str">
        <f t="shared" si="54"/>
        <v/>
      </c>
      <c r="J357" s="6" t="str">
        <f>IF(B357&lt;&gt;"",IF(AND(Input!$H$54="Annual",MOD(B357,12)=0),Input!$J$54,IF(AND(Input!$H$54="1st Installment",B357=1),Input!$J$54,IF(Input!$H$54="Monthly",Input!$J$54,""))),"")</f>
        <v/>
      </c>
      <c r="K357" s="6" t="str">
        <f>IF(B357&lt;&gt;"",IF(AND(Input!$H$55="Annual",MOD(B357,12)=0),Input!$J$55,IF(AND(Input!$H$55="1st Installment",B357=1),Input!$J$55,IF(Input!$H$55="Monthly",Input!$J$55,""))),"")</f>
        <v/>
      </c>
      <c r="L357" s="6" t="str">
        <f>IF(B357&lt;&gt;"",IF(AND(Input!$H$56="Annual",MOD(B357,12)=0),Input!$J$56,IF(AND(Input!$H$56="1st Installment",B357=1),Input!$J$56,IF(Input!$H$56="Monthly",Input!$J$56,""))),"")</f>
        <v/>
      </c>
      <c r="M357" s="6" t="str">
        <f>IF(B357&lt;&gt;"",IF(AND(Input!$H$57="Annual",MOD(B357,12)=0),Input!$J$57,IF(AND(Input!$H$57="1st Installment",B357=1),Input!$J$57,IF(Input!$H$57="Monthly",Input!$J$57,""))),"")</f>
        <v/>
      </c>
      <c r="N357" s="6" t="str">
        <f>IF(B357&lt;&gt;"",IF(AND(Input!$H$58="Annual",MOD(B357,12)=0),Input!$J$58,IF(AND(Input!$H$58="1st Installment",B357=1),Input!$J$58,IF(Input!$H$58="Monthly",Input!$J$58,IF(AND(Input!$H$58="End of the loan",B357=Input!$E$58),Input!$J$58,"")))),"")</f>
        <v/>
      </c>
      <c r="O357" s="6" t="str">
        <f t="shared" si="50"/>
        <v/>
      </c>
      <c r="P357" s="4" t="str">
        <f t="shared" si="51"/>
        <v/>
      </c>
      <c r="T357" s="9" t="str">
        <f t="shared" si="52"/>
        <v/>
      </c>
      <c r="U357" s="5" t="str">
        <f t="shared" si="55"/>
        <v xml:space="preserve"> </v>
      </c>
    </row>
    <row r="358" spans="2:21">
      <c r="B358" s="16" t="str">
        <f t="shared" si="56"/>
        <v/>
      </c>
      <c r="C358" s="9" t="str">
        <f t="shared" si="57"/>
        <v/>
      </c>
      <c r="D358" s="6" t="str">
        <f>IFERROR((PPMT(Input!$E$55/12,B358,$C$6,Input!$E$54,-Input!$E$65,0))," ")</f>
        <v xml:space="preserve"> </v>
      </c>
      <c r="E358" s="6" t="str">
        <f>IFERROR(((IPMT(Input!$E$55/12,B358,$C$6,Input!$E$54,-Input!$E$65,0)))," ")</f>
        <v xml:space="preserve"> </v>
      </c>
      <c r="F358" s="6" t="str">
        <f t="shared" si="59"/>
        <v/>
      </c>
      <c r="G358" s="6" t="str">
        <f t="shared" si="58"/>
        <v/>
      </c>
      <c r="H358" s="6" t="str">
        <f t="shared" si="53"/>
        <v/>
      </c>
      <c r="I358" s="6" t="str">
        <f t="shared" si="54"/>
        <v/>
      </c>
      <c r="J358" s="6" t="str">
        <f>IF(B358&lt;&gt;"",IF(AND(Input!$H$54="Annual",MOD(B358,12)=0),Input!$J$54,IF(AND(Input!$H$54="1st Installment",B358=1),Input!$J$54,IF(Input!$H$54="Monthly",Input!$J$54,""))),"")</f>
        <v/>
      </c>
      <c r="K358" s="6" t="str">
        <f>IF(B358&lt;&gt;"",IF(AND(Input!$H$55="Annual",MOD(B358,12)=0),Input!$J$55,IF(AND(Input!$H$55="1st Installment",B358=1),Input!$J$55,IF(Input!$H$55="Monthly",Input!$J$55,""))),"")</f>
        <v/>
      </c>
      <c r="L358" s="6" t="str">
        <f>IF(B358&lt;&gt;"",IF(AND(Input!$H$56="Annual",MOD(B358,12)=0),Input!$J$56,IF(AND(Input!$H$56="1st Installment",B358=1),Input!$J$56,IF(Input!$H$56="Monthly",Input!$J$56,""))),"")</f>
        <v/>
      </c>
      <c r="M358" s="6" t="str">
        <f>IF(B358&lt;&gt;"",IF(AND(Input!$H$57="Annual",MOD(B358,12)=0),Input!$J$57,IF(AND(Input!$H$57="1st Installment",B358=1),Input!$J$57,IF(Input!$H$57="Monthly",Input!$J$57,""))),"")</f>
        <v/>
      </c>
      <c r="N358" s="6" t="str">
        <f>IF(B358&lt;&gt;"",IF(AND(Input!$H$58="Annual",MOD(B358,12)=0),Input!$J$58,IF(AND(Input!$H$58="1st Installment",B358=1),Input!$J$58,IF(Input!$H$58="Monthly",Input!$J$58,IF(AND(Input!$H$58="End of the loan",B358=Input!$E$58),Input!$J$58,"")))),"")</f>
        <v/>
      </c>
      <c r="O358" s="6" t="str">
        <f t="shared" si="50"/>
        <v/>
      </c>
      <c r="P358" s="4" t="str">
        <f t="shared" si="51"/>
        <v/>
      </c>
      <c r="T358" s="9" t="str">
        <f t="shared" si="52"/>
        <v/>
      </c>
      <c r="U358" s="5" t="str">
        <f t="shared" si="55"/>
        <v xml:space="preserve"> </v>
      </c>
    </row>
    <row r="359" spans="2:21">
      <c r="B359" s="16" t="str">
        <f t="shared" si="56"/>
        <v/>
      </c>
      <c r="C359" s="9" t="str">
        <f t="shared" si="57"/>
        <v/>
      </c>
      <c r="D359" s="6" t="str">
        <f>IFERROR((PPMT(Input!$E$55/12,B359,$C$6,Input!$E$54,-Input!$E$65,0))," ")</f>
        <v xml:space="preserve"> </v>
      </c>
      <c r="E359" s="6" t="str">
        <f>IFERROR(((IPMT(Input!$E$55/12,B359,$C$6,Input!$E$54,-Input!$E$65,0)))," ")</f>
        <v xml:space="preserve"> </v>
      </c>
      <c r="F359" s="6" t="str">
        <f t="shared" si="59"/>
        <v/>
      </c>
      <c r="G359" s="6" t="str">
        <f t="shared" si="58"/>
        <v/>
      </c>
      <c r="H359" s="6" t="str">
        <f t="shared" si="53"/>
        <v/>
      </c>
      <c r="I359" s="6" t="str">
        <f t="shared" si="54"/>
        <v/>
      </c>
      <c r="J359" s="6" t="str">
        <f>IF(B359&lt;&gt;"",IF(AND(Input!$H$54="Annual",MOD(B359,12)=0),Input!$J$54,IF(AND(Input!$H$54="1st Installment",B359=1),Input!$J$54,IF(Input!$H$54="Monthly",Input!$J$54,""))),"")</f>
        <v/>
      </c>
      <c r="K359" s="6" t="str">
        <f>IF(B359&lt;&gt;"",IF(AND(Input!$H$55="Annual",MOD(B359,12)=0),Input!$J$55,IF(AND(Input!$H$55="1st Installment",B359=1),Input!$J$55,IF(Input!$H$55="Monthly",Input!$J$55,""))),"")</f>
        <v/>
      </c>
      <c r="L359" s="6" t="str">
        <f>IF(B359&lt;&gt;"",IF(AND(Input!$H$56="Annual",MOD(B359,12)=0),Input!$J$56,IF(AND(Input!$H$56="1st Installment",B359=1),Input!$J$56,IF(Input!$H$56="Monthly",Input!$J$56,""))),"")</f>
        <v/>
      </c>
      <c r="M359" s="6" t="str">
        <f>IF(B359&lt;&gt;"",IF(AND(Input!$H$57="Annual",MOD(B359,12)=0),Input!$J$57,IF(AND(Input!$H$57="1st Installment",B359=1),Input!$J$57,IF(Input!$H$57="Monthly",Input!$J$57,""))),"")</f>
        <v/>
      </c>
      <c r="N359" s="6" t="str">
        <f>IF(B359&lt;&gt;"",IF(AND(Input!$H$58="Annual",MOD(B359,12)=0),Input!$J$58,IF(AND(Input!$H$58="1st Installment",B359=1),Input!$J$58,IF(Input!$H$58="Monthly",Input!$J$58,IF(AND(Input!$H$58="End of the loan",B359=Input!$E$58),Input!$J$58,"")))),"")</f>
        <v/>
      </c>
      <c r="O359" s="6" t="str">
        <f t="shared" si="50"/>
        <v/>
      </c>
      <c r="P359" s="4" t="str">
        <f t="shared" si="51"/>
        <v/>
      </c>
      <c r="T359" s="9" t="str">
        <f t="shared" si="52"/>
        <v/>
      </c>
      <c r="U359" s="5" t="str">
        <f t="shared" si="55"/>
        <v xml:space="preserve"> </v>
      </c>
    </row>
    <row r="360" spans="2:21">
      <c r="B360" s="16" t="str">
        <f t="shared" si="56"/>
        <v/>
      </c>
      <c r="C360" s="9" t="str">
        <f t="shared" si="57"/>
        <v/>
      </c>
      <c r="D360" s="6" t="str">
        <f>IFERROR((PPMT(Input!$E$55/12,B360,$C$6,Input!$E$54,-Input!$E$65,0))," ")</f>
        <v xml:space="preserve"> </v>
      </c>
      <c r="E360" s="6" t="str">
        <f>IFERROR(((IPMT(Input!$E$55/12,B360,$C$6,Input!$E$54,-Input!$E$65,0)))," ")</f>
        <v xml:space="preserve"> </v>
      </c>
      <c r="F360" s="6" t="str">
        <f t="shared" si="59"/>
        <v/>
      </c>
      <c r="G360" s="6" t="str">
        <f t="shared" si="58"/>
        <v/>
      </c>
      <c r="H360" s="6" t="str">
        <f t="shared" si="53"/>
        <v/>
      </c>
      <c r="I360" s="6" t="str">
        <f t="shared" si="54"/>
        <v/>
      </c>
      <c r="J360" s="6" t="str">
        <f>IF(B360&lt;&gt;"",IF(AND(Input!$H$54="Annual",MOD(B360,12)=0),Input!$J$54,IF(AND(Input!$H$54="1st Installment",B360=1),Input!$J$54,IF(Input!$H$54="Monthly",Input!$J$54,""))),"")</f>
        <v/>
      </c>
      <c r="K360" s="6" t="str">
        <f>IF(B360&lt;&gt;"",IF(AND(Input!$H$55="Annual",MOD(B360,12)=0),Input!$J$55,IF(AND(Input!$H$55="1st Installment",B360=1),Input!$J$55,IF(Input!$H$55="Monthly",Input!$J$55,""))),"")</f>
        <v/>
      </c>
      <c r="L360" s="6" t="str">
        <f>IF(B360&lt;&gt;"",IF(AND(Input!$H$56="Annual",MOD(B360,12)=0),Input!$J$56,IF(AND(Input!$H$56="1st Installment",B360=1),Input!$J$56,IF(Input!$H$56="Monthly",Input!$J$56,""))),"")</f>
        <v/>
      </c>
      <c r="M360" s="6" t="str">
        <f>IF(B360&lt;&gt;"",IF(AND(Input!$H$57="Annual",MOD(B360,12)=0),Input!$J$57,IF(AND(Input!$H$57="1st Installment",B360=1),Input!$J$57,IF(Input!$H$57="Monthly",Input!$J$57,""))),"")</f>
        <v/>
      </c>
      <c r="N360" s="6" t="str">
        <f>IF(B360&lt;&gt;"",IF(AND(Input!$H$58="Annual",MOD(B360,12)=0),Input!$J$58,IF(AND(Input!$H$58="1st Installment",B360=1),Input!$J$58,IF(Input!$H$58="Monthly",Input!$J$58,IF(AND(Input!$H$58="End of the loan",B360=Input!$E$58),Input!$J$58,"")))),"")</f>
        <v/>
      </c>
      <c r="O360" s="6" t="str">
        <f t="shared" si="50"/>
        <v/>
      </c>
      <c r="P360" s="4" t="str">
        <f t="shared" si="51"/>
        <v/>
      </c>
      <c r="T360" s="9" t="str">
        <f t="shared" si="52"/>
        <v/>
      </c>
      <c r="U360" s="5" t="str">
        <f t="shared" si="55"/>
        <v xml:space="preserve"> </v>
      </c>
    </row>
    <row r="361" spans="2:21">
      <c r="B361" s="16" t="str">
        <f t="shared" si="56"/>
        <v/>
      </c>
      <c r="C361" s="9" t="str">
        <f t="shared" si="57"/>
        <v/>
      </c>
      <c r="D361" s="6" t="str">
        <f>IFERROR((PPMT(Input!$E$55/12,B361,$C$6,Input!$E$54,-Input!$E$65,0))," ")</f>
        <v xml:space="preserve"> </v>
      </c>
      <c r="E361" s="6" t="str">
        <f>IFERROR(((IPMT(Input!$E$55/12,B361,$C$6,Input!$E$54,-Input!$E$65,0)))," ")</f>
        <v xml:space="preserve"> </v>
      </c>
      <c r="F361" s="6" t="str">
        <f t="shared" si="59"/>
        <v/>
      </c>
      <c r="G361" s="6" t="str">
        <f t="shared" si="58"/>
        <v/>
      </c>
      <c r="H361" s="6" t="str">
        <f t="shared" si="53"/>
        <v/>
      </c>
      <c r="I361" s="6" t="str">
        <f t="shared" si="54"/>
        <v/>
      </c>
      <c r="J361" s="6" t="str">
        <f>IF(B361&lt;&gt;"",IF(AND(Input!$H$54="Annual",MOD(B361,12)=0),Input!$J$54,IF(AND(Input!$H$54="1st Installment",B361=1),Input!$J$54,IF(Input!$H$54="Monthly",Input!$J$54,""))),"")</f>
        <v/>
      </c>
      <c r="K361" s="6" t="str">
        <f>IF(B361&lt;&gt;"",IF(AND(Input!$H$55="Annual",MOD(B361,12)=0),Input!$J$55,IF(AND(Input!$H$55="1st Installment",B361=1),Input!$J$55,IF(Input!$H$55="Monthly",Input!$J$55,""))),"")</f>
        <v/>
      </c>
      <c r="L361" s="6" t="str">
        <f>IF(B361&lt;&gt;"",IF(AND(Input!$H$56="Annual",MOD(B361,12)=0),Input!$J$56,IF(AND(Input!$H$56="1st Installment",B361=1),Input!$J$56,IF(Input!$H$56="Monthly",Input!$J$56,""))),"")</f>
        <v/>
      </c>
      <c r="M361" s="6" t="str">
        <f>IF(B361&lt;&gt;"",IF(AND(Input!$H$57="Annual",MOD(B361,12)=0),Input!$J$57,IF(AND(Input!$H$57="1st Installment",B361=1),Input!$J$57,IF(Input!$H$57="Monthly",Input!$J$57,""))),"")</f>
        <v/>
      </c>
      <c r="N361" s="6" t="str">
        <f>IF(B361&lt;&gt;"",IF(AND(Input!$H$58="Annual",MOD(B361,12)=0),Input!$J$58,IF(AND(Input!$H$58="1st Installment",B361=1),Input!$J$58,IF(Input!$H$58="Monthly",Input!$J$58,IF(AND(Input!$H$58="End of the loan",B361=Input!$E$58),Input!$J$58,"")))),"")</f>
        <v/>
      </c>
      <c r="O361" s="6" t="str">
        <f t="shared" si="50"/>
        <v/>
      </c>
      <c r="P361" s="4" t="str">
        <f t="shared" si="51"/>
        <v/>
      </c>
      <c r="T361" s="9" t="str">
        <f t="shared" si="52"/>
        <v/>
      </c>
      <c r="U361" s="5" t="str">
        <f t="shared" si="55"/>
        <v xml:space="preserve"> </v>
      </c>
    </row>
    <row r="362" spans="2:21">
      <c r="B362" s="16" t="str">
        <f t="shared" si="56"/>
        <v/>
      </c>
      <c r="C362" s="9" t="str">
        <f t="shared" si="57"/>
        <v/>
      </c>
      <c r="D362" s="6" t="str">
        <f>IFERROR((PPMT(Input!$E$55/12,B362,$C$6,Input!$E$54,-Input!$E$65,0))," ")</f>
        <v xml:space="preserve"> </v>
      </c>
      <c r="E362" s="6" t="str">
        <f>IFERROR(((IPMT(Input!$E$55/12,B362,$C$6,Input!$E$54,-Input!$E$65,0)))," ")</f>
        <v xml:space="preserve"> </v>
      </c>
      <c r="F362" s="6" t="str">
        <f t="shared" si="59"/>
        <v/>
      </c>
      <c r="G362" s="6" t="str">
        <f t="shared" si="58"/>
        <v/>
      </c>
      <c r="H362" s="6" t="str">
        <f t="shared" si="53"/>
        <v/>
      </c>
      <c r="I362" s="6" t="str">
        <f t="shared" si="54"/>
        <v/>
      </c>
      <c r="J362" s="6" t="str">
        <f>IF(B362&lt;&gt;"",IF(AND(Input!$H$54="Annual",MOD(B362,12)=0),Input!$J$54,IF(AND(Input!$H$54="1st Installment",B362=1),Input!$J$54,IF(Input!$H$54="Monthly",Input!$J$54,""))),"")</f>
        <v/>
      </c>
      <c r="K362" s="6" t="str">
        <f>IF(B362&lt;&gt;"",IF(AND(Input!$H$55="Annual",MOD(B362,12)=0),Input!$J$55,IF(AND(Input!$H$55="1st Installment",B362=1),Input!$J$55,IF(Input!$H$55="Monthly",Input!$J$55,""))),"")</f>
        <v/>
      </c>
      <c r="L362" s="6" t="str">
        <f>IF(B362&lt;&gt;"",IF(AND(Input!$H$56="Annual",MOD(B362,12)=0),Input!$J$56,IF(AND(Input!$H$56="1st Installment",B362=1),Input!$J$56,IF(Input!$H$56="Monthly",Input!$J$56,""))),"")</f>
        <v/>
      </c>
      <c r="M362" s="6" t="str">
        <f>IF(B362&lt;&gt;"",IF(AND(Input!$H$57="Annual",MOD(B362,12)=0),Input!$J$57,IF(AND(Input!$H$57="1st Installment",B362=1),Input!$J$57,IF(Input!$H$57="Monthly",Input!$J$57,""))),"")</f>
        <v/>
      </c>
      <c r="N362" s="6" t="str">
        <f>IF(B362&lt;&gt;"",IF(AND(Input!$H$58="Annual",MOD(B362,12)=0),Input!$J$58,IF(AND(Input!$H$58="1st Installment",B362=1),Input!$J$58,IF(Input!$H$58="Monthly",Input!$J$58,IF(AND(Input!$H$58="End of the loan",B362=Input!$E$58),Input!$J$58,"")))),"")</f>
        <v/>
      </c>
      <c r="O362" s="6" t="str">
        <f t="shared" si="50"/>
        <v/>
      </c>
      <c r="P362" s="4" t="str">
        <f t="shared" si="51"/>
        <v/>
      </c>
      <c r="T362" s="9" t="str">
        <f t="shared" si="52"/>
        <v/>
      </c>
      <c r="U362" s="5" t="str">
        <f t="shared" si="55"/>
        <v xml:space="preserve"> </v>
      </c>
    </row>
    <row r="363" spans="2:21">
      <c r="B363" s="16" t="str">
        <f t="shared" si="56"/>
        <v/>
      </c>
      <c r="C363" s="9" t="str">
        <f t="shared" si="57"/>
        <v/>
      </c>
      <c r="D363" s="6" t="str">
        <f>IFERROR((PPMT(Input!$E$55/12,B363,$C$6,Input!$E$54,-Input!$E$65,0))," ")</f>
        <v xml:space="preserve"> </v>
      </c>
      <c r="E363" s="6" t="str">
        <f>IFERROR(((IPMT(Input!$E$55/12,B363,$C$6,Input!$E$54,-Input!$E$65,0)))," ")</f>
        <v xml:space="preserve"> </v>
      </c>
      <c r="F363" s="6" t="str">
        <f t="shared" si="59"/>
        <v/>
      </c>
      <c r="G363" s="6" t="str">
        <f t="shared" si="58"/>
        <v/>
      </c>
      <c r="H363" s="6" t="str">
        <f t="shared" si="53"/>
        <v/>
      </c>
      <c r="I363" s="6" t="str">
        <f t="shared" si="54"/>
        <v/>
      </c>
      <c r="J363" s="6" t="str">
        <f>IF(B363&lt;&gt;"",IF(AND(Input!$H$54="Annual",MOD(B363,12)=0),Input!$J$54,IF(AND(Input!$H$54="1st Installment",B363=1),Input!$J$54,IF(Input!$H$54="Monthly",Input!$J$54,""))),"")</f>
        <v/>
      </c>
      <c r="K363" s="6" t="str">
        <f>IF(B363&lt;&gt;"",IF(AND(Input!$H$55="Annual",MOD(B363,12)=0),Input!$J$55,IF(AND(Input!$H$55="1st Installment",B363=1),Input!$J$55,IF(Input!$H$55="Monthly",Input!$J$55,""))),"")</f>
        <v/>
      </c>
      <c r="L363" s="6" t="str">
        <f>IF(B363&lt;&gt;"",IF(AND(Input!$H$56="Annual",MOD(B363,12)=0),Input!$J$56,IF(AND(Input!$H$56="1st Installment",B363=1),Input!$J$56,IF(Input!$H$56="Monthly",Input!$J$56,""))),"")</f>
        <v/>
      </c>
      <c r="M363" s="6" t="str">
        <f>IF(B363&lt;&gt;"",IF(AND(Input!$H$57="Annual",MOD(B363,12)=0),Input!$J$57,IF(AND(Input!$H$57="1st Installment",B363=1),Input!$J$57,IF(Input!$H$57="Monthly",Input!$J$57,""))),"")</f>
        <v/>
      </c>
      <c r="N363" s="6" t="str">
        <f>IF(B363&lt;&gt;"",IF(AND(Input!$H$58="Annual",MOD(B363,12)=0),Input!$J$58,IF(AND(Input!$H$58="1st Installment",B363=1),Input!$J$58,IF(Input!$H$58="Monthly",Input!$J$58,IF(AND(Input!$H$58="End of the loan",B363=Input!$E$58),Input!$J$58,"")))),"")</f>
        <v/>
      </c>
      <c r="O363" s="6" t="str">
        <f t="shared" si="50"/>
        <v/>
      </c>
      <c r="P363" s="4" t="str">
        <f t="shared" si="51"/>
        <v/>
      </c>
      <c r="T363" s="9" t="str">
        <f t="shared" si="52"/>
        <v/>
      </c>
      <c r="U363" s="5" t="str">
        <f t="shared" si="55"/>
        <v xml:space="preserve"> </v>
      </c>
    </row>
    <row r="364" spans="2:21">
      <c r="B364" s="16" t="str">
        <f t="shared" si="56"/>
        <v/>
      </c>
      <c r="C364" s="9" t="str">
        <f t="shared" si="57"/>
        <v/>
      </c>
      <c r="D364" s="6" t="str">
        <f>IFERROR((PPMT(Input!$E$55/12,B364,$C$6,Input!$E$54,-Input!$E$65,0))," ")</f>
        <v xml:space="preserve"> </v>
      </c>
      <c r="E364" s="6" t="str">
        <f>IFERROR(((IPMT(Input!$E$55/12,B364,$C$6,Input!$E$54,-Input!$E$65,0)))," ")</f>
        <v xml:space="preserve"> </v>
      </c>
      <c r="F364" s="6" t="str">
        <f t="shared" si="59"/>
        <v/>
      </c>
      <c r="G364" s="6" t="str">
        <f t="shared" si="58"/>
        <v/>
      </c>
      <c r="H364" s="6" t="str">
        <f t="shared" si="53"/>
        <v/>
      </c>
      <c r="I364" s="6" t="str">
        <f t="shared" si="54"/>
        <v/>
      </c>
      <c r="J364" s="6" t="str">
        <f>IF(B364&lt;&gt;"",IF(AND(Input!$H$54="Annual",MOD(B364,12)=0),Input!$J$54,IF(AND(Input!$H$54="1st Installment",B364=1),Input!$J$54,IF(Input!$H$54="Monthly",Input!$J$54,""))),"")</f>
        <v/>
      </c>
      <c r="K364" s="6" t="str">
        <f>IF(B364&lt;&gt;"",IF(AND(Input!$H$55="Annual",MOD(B364,12)=0),Input!$J$55,IF(AND(Input!$H$55="1st Installment",B364=1),Input!$J$55,IF(Input!$H$55="Monthly",Input!$J$55,""))),"")</f>
        <v/>
      </c>
      <c r="L364" s="6" t="str">
        <f>IF(B364&lt;&gt;"",IF(AND(Input!$H$56="Annual",MOD(B364,12)=0),Input!$J$56,IF(AND(Input!$H$56="1st Installment",B364=1),Input!$J$56,IF(Input!$H$56="Monthly",Input!$J$56,""))),"")</f>
        <v/>
      </c>
      <c r="M364" s="6" t="str">
        <f>IF(B364&lt;&gt;"",IF(AND(Input!$H$57="Annual",MOD(B364,12)=0),Input!$J$57,IF(AND(Input!$H$57="1st Installment",B364=1),Input!$J$57,IF(Input!$H$57="Monthly",Input!$J$57,""))),"")</f>
        <v/>
      </c>
      <c r="N364" s="6" t="str">
        <f>IF(B364&lt;&gt;"",IF(AND(Input!$H$58="Annual",MOD(B364,12)=0),Input!$J$58,IF(AND(Input!$H$58="1st Installment",B364=1),Input!$J$58,IF(Input!$H$58="Monthly",Input!$J$58,IF(AND(Input!$H$58="End of the loan",B364=Input!$E$58),Input!$J$58,"")))),"")</f>
        <v/>
      </c>
      <c r="O364" s="6" t="str">
        <f t="shared" si="50"/>
        <v/>
      </c>
      <c r="P364" s="4" t="str">
        <f t="shared" si="51"/>
        <v/>
      </c>
      <c r="T364" s="9" t="str">
        <f t="shared" si="52"/>
        <v/>
      </c>
      <c r="U364" s="5" t="str">
        <f t="shared" si="55"/>
        <v xml:space="preserve"> </v>
      </c>
    </row>
    <row r="365" spans="2:21">
      <c r="B365" s="16" t="str">
        <f t="shared" si="56"/>
        <v/>
      </c>
      <c r="C365" s="9" t="str">
        <f t="shared" si="57"/>
        <v/>
      </c>
      <c r="D365" s="6" t="str">
        <f>IFERROR((PPMT(Input!$E$55/12,B365,$C$6,Input!$E$54,-Input!$E$65,0))," ")</f>
        <v xml:space="preserve"> </v>
      </c>
      <c r="E365" s="6" t="str">
        <f>IFERROR(((IPMT(Input!$E$55/12,B365,$C$6,Input!$E$54,-Input!$E$65,0)))," ")</f>
        <v xml:space="preserve"> </v>
      </c>
      <c r="F365" s="6" t="str">
        <f t="shared" si="59"/>
        <v/>
      </c>
      <c r="G365" s="6" t="str">
        <f t="shared" si="58"/>
        <v/>
      </c>
      <c r="H365" s="6" t="str">
        <f t="shared" si="53"/>
        <v/>
      </c>
      <c r="I365" s="6" t="str">
        <f t="shared" si="54"/>
        <v/>
      </c>
      <c r="J365" s="6" t="str">
        <f>IF(B365&lt;&gt;"",IF(AND(Input!$H$54="Annual",MOD(B365,12)=0),Input!$J$54,IF(AND(Input!$H$54="1st Installment",B365=1),Input!$J$54,IF(Input!$H$54="Monthly",Input!$J$54,""))),"")</f>
        <v/>
      </c>
      <c r="K365" s="6" t="str">
        <f>IF(B365&lt;&gt;"",IF(AND(Input!$H$55="Annual",MOD(B365,12)=0),Input!$J$55,IF(AND(Input!$H$55="1st Installment",B365=1),Input!$J$55,IF(Input!$H$55="Monthly",Input!$J$55,""))),"")</f>
        <v/>
      </c>
      <c r="L365" s="6" t="str">
        <f>IF(B365&lt;&gt;"",IF(AND(Input!$H$56="Annual",MOD(B365,12)=0),Input!$J$56,IF(AND(Input!$H$56="1st Installment",B365=1),Input!$J$56,IF(Input!$H$56="Monthly",Input!$J$56,""))),"")</f>
        <v/>
      </c>
      <c r="M365" s="6" t="str">
        <f>IF(B365&lt;&gt;"",IF(AND(Input!$H$57="Annual",MOD(B365,12)=0),Input!$J$57,IF(AND(Input!$H$57="1st Installment",B365=1),Input!$J$57,IF(Input!$H$57="Monthly",Input!$J$57,""))),"")</f>
        <v/>
      </c>
      <c r="N365" s="6" t="str">
        <f>IF(B365&lt;&gt;"",IF(AND(Input!$H$58="Annual",MOD(B365,12)=0),Input!$J$58,IF(AND(Input!$H$58="1st Installment",B365=1),Input!$J$58,IF(Input!$H$58="Monthly",Input!$J$58,IF(AND(Input!$H$58="End of the loan",B365=Input!$E$58),Input!$J$58,"")))),"")</f>
        <v/>
      </c>
      <c r="O365" s="6" t="str">
        <f t="shared" si="50"/>
        <v/>
      </c>
      <c r="P365" s="4" t="str">
        <f t="shared" si="51"/>
        <v/>
      </c>
      <c r="T365" s="9" t="str">
        <f t="shared" si="52"/>
        <v/>
      </c>
      <c r="U365" s="5" t="str">
        <f t="shared" si="55"/>
        <v xml:space="preserve"> </v>
      </c>
    </row>
    <row r="366" spans="2:21">
      <c r="B366" s="16" t="str">
        <f t="shared" si="56"/>
        <v/>
      </c>
      <c r="C366" s="9" t="str">
        <f t="shared" si="57"/>
        <v/>
      </c>
      <c r="D366" s="6" t="str">
        <f>IFERROR((PPMT(Input!$E$55/12,B366,$C$6,Input!$E$54,-Input!$E$65,0))," ")</f>
        <v xml:space="preserve"> </v>
      </c>
      <c r="E366" s="6" t="str">
        <f>IFERROR(((IPMT(Input!$E$55/12,B366,$C$6,Input!$E$54,-Input!$E$65,0)))," ")</f>
        <v xml:space="preserve"> </v>
      </c>
      <c r="F366" s="6" t="str">
        <f t="shared" si="59"/>
        <v/>
      </c>
      <c r="G366" s="6" t="str">
        <f t="shared" si="58"/>
        <v/>
      </c>
      <c r="H366" s="6" t="str">
        <f t="shared" si="53"/>
        <v/>
      </c>
      <c r="I366" s="6" t="str">
        <f t="shared" si="54"/>
        <v/>
      </c>
      <c r="J366" s="6" t="str">
        <f>IF(B366&lt;&gt;"",IF(AND(Input!$H$54="Annual",MOD(B366,12)=0),Input!$J$54,IF(AND(Input!$H$54="1st Installment",B366=1),Input!$J$54,IF(Input!$H$54="Monthly",Input!$J$54,""))),"")</f>
        <v/>
      </c>
      <c r="K366" s="6" t="str">
        <f>IF(B366&lt;&gt;"",IF(AND(Input!$H$55="Annual",MOD(B366,12)=0),Input!$J$55,IF(AND(Input!$H$55="1st Installment",B366=1),Input!$J$55,IF(Input!$H$55="Monthly",Input!$J$55,""))),"")</f>
        <v/>
      </c>
      <c r="L366" s="6" t="str">
        <f>IF(B366&lt;&gt;"",IF(AND(Input!$H$56="Annual",MOD(B366,12)=0),Input!$J$56,IF(AND(Input!$H$56="1st Installment",B366=1),Input!$J$56,IF(Input!$H$56="Monthly",Input!$J$56,""))),"")</f>
        <v/>
      </c>
      <c r="M366" s="6" t="str">
        <f>IF(B366&lt;&gt;"",IF(AND(Input!$H$57="Annual",MOD(B366,12)=0),Input!$J$57,IF(AND(Input!$H$57="1st Installment",B366=1),Input!$J$57,IF(Input!$H$57="Monthly",Input!$J$57,""))),"")</f>
        <v/>
      </c>
      <c r="N366" s="6" t="str">
        <f>IF(B366&lt;&gt;"",IF(AND(Input!$H$58="Annual",MOD(B366,12)=0),Input!$J$58,IF(AND(Input!$H$58="1st Installment",B366=1),Input!$J$58,IF(Input!$H$58="Monthly",Input!$J$58,IF(AND(Input!$H$58="End of the loan",B366=Input!$E$58),Input!$J$58,"")))),"")</f>
        <v/>
      </c>
      <c r="O366" s="6" t="str">
        <f t="shared" ref="O366:O385" si="60">IF(B366&lt;&gt;"",SUM(J366:N366),"")</f>
        <v/>
      </c>
      <c r="P366" s="4" t="str">
        <f t="shared" si="51"/>
        <v/>
      </c>
      <c r="T366" s="9" t="str">
        <f t="shared" si="52"/>
        <v/>
      </c>
      <c r="U366" s="5" t="str">
        <f t="shared" si="55"/>
        <v xml:space="preserve"> </v>
      </c>
    </row>
    <row r="367" spans="2:21">
      <c r="B367" s="16" t="str">
        <f t="shared" si="56"/>
        <v/>
      </c>
      <c r="C367" s="9" t="str">
        <f t="shared" si="57"/>
        <v/>
      </c>
      <c r="D367" s="6" t="str">
        <f>IFERROR((PPMT(Input!$E$55/12,B367,$C$6,Input!$E$54,-Input!$E$65,0))," ")</f>
        <v xml:space="preserve"> </v>
      </c>
      <c r="E367" s="6" t="str">
        <f>IFERROR(((IPMT(Input!$E$55/12,B367,$C$6,Input!$E$54,-Input!$E$65,0)))," ")</f>
        <v xml:space="preserve"> </v>
      </c>
      <c r="F367" s="6" t="str">
        <f t="shared" si="59"/>
        <v/>
      </c>
      <c r="G367" s="6" t="str">
        <f t="shared" si="58"/>
        <v/>
      </c>
      <c r="H367" s="6" t="str">
        <f t="shared" si="53"/>
        <v/>
      </c>
      <c r="I367" s="6" t="str">
        <f t="shared" si="54"/>
        <v/>
      </c>
      <c r="J367" s="6" t="str">
        <f>IF(B367&lt;&gt;"",IF(AND(Input!$H$54="Annual",MOD(B367,12)=0),Input!$J$54,IF(AND(Input!$H$54="1st Installment",B367=1),Input!$J$54,IF(Input!$H$54="Monthly",Input!$J$54,""))),"")</f>
        <v/>
      </c>
      <c r="K367" s="6" t="str">
        <f>IF(B367&lt;&gt;"",IF(AND(Input!$H$55="Annual",MOD(B367,12)=0),Input!$J$55,IF(AND(Input!$H$55="1st Installment",B367=1),Input!$J$55,IF(Input!$H$55="Monthly",Input!$J$55,""))),"")</f>
        <v/>
      </c>
      <c r="L367" s="6" t="str">
        <f>IF(B367&lt;&gt;"",IF(AND(Input!$H$56="Annual",MOD(B367,12)=0),Input!$J$56,IF(AND(Input!$H$56="1st Installment",B367=1),Input!$J$56,IF(Input!$H$56="Monthly",Input!$J$56,""))),"")</f>
        <v/>
      </c>
      <c r="M367" s="6" t="str">
        <f>IF(B367&lt;&gt;"",IF(AND(Input!$H$57="Annual",MOD(B367,12)=0),Input!$J$57,IF(AND(Input!$H$57="1st Installment",B367=1),Input!$J$57,IF(Input!$H$57="Monthly",Input!$J$57,""))),"")</f>
        <v/>
      </c>
      <c r="N367" s="6" t="str">
        <f>IF(B367&lt;&gt;"",IF(AND(Input!$H$58="Annual",MOD(B367,12)=0),Input!$J$58,IF(AND(Input!$H$58="1st Installment",B367=1),Input!$J$58,IF(Input!$H$58="Monthly",Input!$J$58,IF(AND(Input!$H$58="End of the loan",B367=Input!$E$58),Input!$J$58,"")))),"")</f>
        <v/>
      </c>
      <c r="O367" s="6" t="str">
        <f t="shared" si="60"/>
        <v/>
      </c>
      <c r="P367" s="4" t="str">
        <f t="shared" si="51"/>
        <v/>
      </c>
      <c r="T367" s="9" t="str">
        <f t="shared" si="52"/>
        <v/>
      </c>
      <c r="U367" s="5" t="str">
        <f t="shared" si="55"/>
        <v xml:space="preserve"> </v>
      </c>
    </row>
    <row r="368" spans="2:21">
      <c r="B368" s="16" t="str">
        <f t="shared" si="56"/>
        <v/>
      </c>
      <c r="C368" s="9" t="str">
        <f t="shared" si="57"/>
        <v/>
      </c>
      <c r="D368" s="6" t="str">
        <f>IFERROR((PPMT(Input!$E$55/12,B368,$C$6,Input!$E$54,-Input!$E$65,0))," ")</f>
        <v xml:space="preserve"> </v>
      </c>
      <c r="E368" s="6" t="str">
        <f>IFERROR(((IPMT(Input!$E$55/12,B368,$C$6,Input!$E$54,-Input!$E$65,0)))," ")</f>
        <v xml:space="preserve"> </v>
      </c>
      <c r="F368" s="6" t="str">
        <f t="shared" si="59"/>
        <v/>
      </c>
      <c r="G368" s="6" t="str">
        <f t="shared" si="58"/>
        <v/>
      </c>
      <c r="H368" s="6" t="str">
        <f t="shared" si="53"/>
        <v/>
      </c>
      <c r="I368" s="6" t="str">
        <f t="shared" si="54"/>
        <v/>
      </c>
      <c r="J368" s="6" t="str">
        <f>IF(B368&lt;&gt;"",IF(AND(Input!$H$54="Annual",MOD(B368,12)=0),Input!$J$54,IF(AND(Input!$H$54="1st Installment",B368=1),Input!$J$54,IF(Input!$H$54="Monthly",Input!$J$54,""))),"")</f>
        <v/>
      </c>
      <c r="K368" s="6" t="str">
        <f>IF(B368&lt;&gt;"",IF(AND(Input!$H$55="Annual",MOD(B368,12)=0),Input!$J$55,IF(AND(Input!$H$55="1st Installment",B368=1),Input!$J$55,IF(Input!$H$55="Monthly",Input!$J$55,""))),"")</f>
        <v/>
      </c>
      <c r="L368" s="6" t="str">
        <f>IF(B368&lt;&gt;"",IF(AND(Input!$H$56="Annual",MOD(B368,12)=0),Input!$J$56,IF(AND(Input!$H$56="1st Installment",B368=1),Input!$J$56,IF(Input!$H$56="Monthly",Input!$J$56,""))),"")</f>
        <v/>
      </c>
      <c r="M368" s="6" t="str">
        <f>IF(B368&lt;&gt;"",IF(AND(Input!$H$57="Annual",MOD(B368,12)=0),Input!$J$57,IF(AND(Input!$H$57="1st Installment",B368=1),Input!$J$57,IF(Input!$H$57="Monthly",Input!$J$57,""))),"")</f>
        <v/>
      </c>
      <c r="N368" s="6" t="str">
        <f>IF(B368&lt;&gt;"",IF(AND(Input!$H$58="Annual",MOD(B368,12)=0),Input!$J$58,IF(AND(Input!$H$58="1st Installment",B368=1),Input!$J$58,IF(Input!$H$58="Monthly",Input!$J$58,IF(AND(Input!$H$58="End of the loan",B368=Input!$E$58),Input!$J$58,"")))),"")</f>
        <v/>
      </c>
      <c r="O368" s="6" t="str">
        <f t="shared" si="60"/>
        <v/>
      </c>
      <c r="P368" s="4" t="str">
        <f t="shared" si="51"/>
        <v/>
      </c>
      <c r="T368" s="9" t="str">
        <f t="shared" si="52"/>
        <v/>
      </c>
      <c r="U368" s="5" t="str">
        <f t="shared" si="55"/>
        <v xml:space="preserve"> </v>
      </c>
    </row>
    <row r="369" spans="2:21">
      <c r="B369" s="16" t="str">
        <f t="shared" si="56"/>
        <v/>
      </c>
      <c r="C369" s="9" t="str">
        <f t="shared" si="57"/>
        <v/>
      </c>
      <c r="D369" s="6" t="str">
        <f>IFERROR((PPMT(Input!$E$55/12,B369,$C$6,Input!$E$54,-Input!$E$65,0))," ")</f>
        <v xml:space="preserve"> </v>
      </c>
      <c r="E369" s="6" t="str">
        <f>IFERROR(((IPMT(Input!$E$55/12,B369,$C$6,Input!$E$54,-Input!$E$65,0)))," ")</f>
        <v xml:space="preserve"> </v>
      </c>
      <c r="F369" s="6" t="str">
        <f t="shared" si="59"/>
        <v/>
      </c>
      <c r="G369" s="6" t="str">
        <f t="shared" si="58"/>
        <v/>
      </c>
      <c r="H369" s="6" t="str">
        <f t="shared" si="53"/>
        <v/>
      </c>
      <c r="I369" s="6" t="str">
        <f t="shared" si="54"/>
        <v/>
      </c>
      <c r="J369" s="6" t="str">
        <f>IF(B369&lt;&gt;"",IF(AND(Input!$H$54="Annual",MOD(B369,12)=0),Input!$J$54,IF(AND(Input!$H$54="1st Installment",B369=1),Input!$J$54,IF(Input!$H$54="Monthly",Input!$J$54,""))),"")</f>
        <v/>
      </c>
      <c r="K369" s="6" t="str">
        <f>IF(B369&lt;&gt;"",IF(AND(Input!$H$55="Annual",MOD(B369,12)=0),Input!$J$55,IF(AND(Input!$H$55="1st Installment",B369=1),Input!$J$55,IF(Input!$H$55="Monthly",Input!$J$55,""))),"")</f>
        <v/>
      </c>
      <c r="L369" s="6" t="str">
        <f>IF(B369&lt;&gt;"",IF(AND(Input!$H$56="Annual",MOD(B369,12)=0),Input!$J$56,IF(AND(Input!$H$56="1st Installment",B369=1),Input!$J$56,IF(Input!$H$56="Monthly",Input!$J$56,""))),"")</f>
        <v/>
      </c>
      <c r="M369" s="6" t="str">
        <f>IF(B369&lt;&gt;"",IF(AND(Input!$H$57="Annual",MOD(B369,12)=0),Input!$J$57,IF(AND(Input!$H$57="1st Installment",B369=1),Input!$J$57,IF(Input!$H$57="Monthly",Input!$J$57,""))),"")</f>
        <v/>
      </c>
      <c r="N369" s="6" t="str">
        <f>IF(B369&lt;&gt;"",IF(AND(Input!$H$58="Annual",MOD(B369,12)=0),Input!$J$58,IF(AND(Input!$H$58="1st Installment",B369=1),Input!$J$58,IF(Input!$H$58="Monthly",Input!$J$58,IF(AND(Input!$H$58="End of the loan",B369=Input!$E$58),Input!$J$58,"")))),"")</f>
        <v/>
      </c>
      <c r="O369" s="6" t="str">
        <f t="shared" si="60"/>
        <v/>
      </c>
      <c r="P369" s="4" t="str">
        <f t="shared" si="51"/>
        <v/>
      </c>
      <c r="T369" s="9" t="str">
        <f t="shared" si="52"/>
        <v/>
      </c>
      <c r="U369" s="5" t="str">
        <f t="shared" si="55"/>
        <v xml:space="preserve"> </v>
      </c>
    </row>
    <row r="370" spans="2:21">
      <c r="B370" s="16" t="str">
        <f t="shared" si="56"/>
        <v/>
      </c>
      <c r="C370" s="9" t="str">
        <f t="shared" si="57"/>
        <v/>
      </c>
      <c r="D370" s="6" t="str">
        <f>IFERROR((PPMT(Input!$E$55/12,B370,$C$6,Input!$E$54,-Input!$E$65,0))," ")</f>
        <v xml:space="preserve"> </v>
      </c>
      <c r="E370" s="6" t="str">
        <f>IFERROR(((IPMT(Input!$E$55/12,B370,$C$6,Input!$E$54,-Input!$E$65,0)))," ")</f>
        <v xml:space="preserve"> </v>
      </c>
      <c r="F370" s="6" t="str">
        <f t="shared" si="59"/>
        <v/>
      </c>
      <c r="G370" s="6" t="str">
        <f t="shared" si="58"/>
        <v/>
      </c>
      <c r="H370" s="6" t="str">
        <f t="shared" si="53"/>
        <v/>
      </c>
      <c r="I370" s="6" t="str">
        <f t="shared" si="54"/>
        <v/>
      </c>
      <c r="J370" s="6" t="str">
        <f>IF(B370&lt;&gt;"",IF(AND(Input!$H$54="Annual",MOD(B370,12)=0),Input!$J$54,IF(AND(Input!$H$54="1st Installment",B370=1),Input!$J$54,IF(Input!$H$54="Monthly",Input!$J$54,""))),"")</f>
        <v/>
      </c>
      <c r="K370" s="6" t="str">
        <f>IF(B370&lt;&gt;"",IF(AND(Input!$H$55="Annual",MOD(B370,12)=0),Input!$J$55,IF(AND(Input!$H$55="1st Installment",B370=1),Input!$J$55,IF(Input!$H$55="Monthly",Input!$J$55,""))),"")</f>
        <v/>
      </c>
      <c r="L370" s="6" t="str">
        <f>IF(B370&lt;&gt;"",IF(AND(Input!$H$56="Annual",MOD(B370,12)=0),Input!$J$56,IF(AND(Input!$H$56="1st Installment",B370=1),Input!$J$56,IF(Input!$H$56="Monthly",Input!$J$56,""))),"")</f>
        <v/>
      </c>
      <c r="M370" s="6" t="str">
        <f>IF(B370&lt;&gt;"",IF(AND(Input!$H$57="Annual",MOD(B370,12)=0),Input!$J$57,IF(AND(Input!$H$57="1st Installment",B370=1),Input!$J$57,IF(Input!$H$57="Monthly",Input!$J$57,""))),"")</f>
        <v/>
      </c>
      <c r="N370" s="6" t="str">
        <f>IF(B370&lt;&gt;"",IF(AND(Input!$H$58="Annual",MOD(B370,12)=0),Input!$J$58,IF(AND(Input!$H$58="1st Installment",B370=1),Input!$J$58,IF(Input!$H$58="Monthly",Input!$J$58,IF(AND(Input!$H$58="End of the loan",B370=Input!$E$58),Input!$J$58,"")))),"")</f>
        <v/>
      </c>
      <c r="O370" s="6" t="str">
        <f t="shared" si="60"/>
        <v/>
      </c>
      <c r="P370" s="4" t="str">
        <f t="shared" si="51"/>
        <v/>
      </c>
      <c r="T370" s="9" t="str">
        <f t="shared" si="52"/>
        <v/>
      </c>
      <c r="U370" s="5" t="str">
        <f t="shared" si="55"/>
        <v xml:space="preserve"> </v>
      </c>
    </row>
    <row r="371" spans="2:21">
      <c r="B371" s="16" t="str">
        <f t="shared" si="56"/>
        <v/>
      </c>
      <c r="C371" s="9" t="str">
        <f t="shared" si="57"/>
        <v/>
      </c>
      <c r="D371" s="6" t="str">
        <f>IFERROR((PPMT(Input!$E$55/12,B371,$C$6,Input!$E$54,-Input!$E$65,0))," ")</f>
        <v xml:space="preserve"> </v>
      </c>
      <c r="E371" s="6" t="str">
        <f>IFERROR(((IPMT(Input!$E$55/12,B371,$C$6,Input!$E$54,-Input!$E$65,0)))," ")</f>
        <v xml:space="preserve"> </v>
      </c>
      <c r="F371" s="6" t="str">
        <f t="shared" si="59"/>
        <v/>
      </c>
      <c r="G371" s="6" t="str">
        <f t="shared" si="58"/>
        <v/>
      </c>
      <c r="H371" s="6" t="str">
        <f t="shared" si="53"/>
        <v/>
      </c>
      <c r="I371" s="6" t="str">
        <f t="shared" si="54"/>
        <v/>
      </c>
      <c r="J371" s="6" t="str">
        <f>IF(B371&lt;&gt;"",IF(AND(Input!$H$54="Annual",MOD(B371,12)=0),Input!$J$54,IF(AND(Input!$H$54="1st Installment",B371=1),Input!$J$54,IF(Input!$H$54="Monthly",Input!$J$54,""))),"")</f>
        <v/>
      </c>
      <c r="K371" s="6" t="str">
        <f>IF(B371&lt;&gt;"",IF(AND(Input!$H$55="Annual",MOD(B371,12)=0),Input!$J$55,IF(AND(Input!$H$55="1st Installment",B371=1),Input!$J$55,IF(Input!$H$55="Monthly",Input!$J$55,""))),"")</f>
        <v/>
      </c>
      <c r="L371" s="6" t="str">
        <f>IF(B371&lt;&gt;"",IF(AND(Input!$H$56="Annual",MOD(B371,12)=0),Input!$J$56,IF(AND(Input!$H$56="1st Installment",B371=1),Input!$J$56,IF(Input!$H$56="Monthly",Input!$J$56,""))),"")</f>
        <v/>
      </c>
      <c r="M371" s="6" t="str">
        <f>IF(B371&lt;&gt;"",IF(AND(Input!$H$57="Annual",MOD(B371,12)=0),Input!$J$57,IF(AND(Input!$H$57="1st Installment",B371=1),Input!$J$57,IF(Input!$H$57="Monthly",Input!$J$57,""))),"")</f>
        <v/>
      </c>
      <c r="N371" s="6" t="str">
        <f>IF(B371&lt;&gt;"",IF(AND(Input!$H$58="Annual",MOD(B371,12)=0),Input!$J$58,IF(AND(Input!$H$58="1st Installment",B371=1),Input!$J$58,IF(Input!$H$58="Monthly",Input!$J$58,IF(AND(Input!$H$58="End of the loan",B371=Input!$E$58),Input!$J$58,"")))),"")</f>
        <v/>
      </c>
      <c r="O371" s="6" t="str">
        <f t="shared" si="60"/>
        <v/>
      </c>
      <c r="P371" s="4" t="str">
        <f t="shared" si="51"/>
        <v/>
      </c>
      <c r="T371" s="9" t="str">
        <f t="shared" si="52"/>
        <v/>
      </c>
      <c r="U371" s="5" t="str">
        <f t="shared" si="55"/>
        <v xml:space="preserve"> </v>
      </c>
    </row>
    <row r="372" spans="2:21">
      <c r="B372" s="16" t="str">
        <f t="shared" si="56"/>
        <v/>
      </c>
      <c r="C372" s="9" t="str">
        <f t="shared" si="57"/>
        <v/>
      </c>
      <c r="D372" s="6" t="str">
        <f>IFERROR((PPMT(Input!$E$55/12,B372,$C$6,Input!$E$54,-Input!$E$65,0))," ")</f>
        <v xml:space="preserve"> </v>
      </c>
      <c r="E372" s="6" t="str">
        <f>IFERROR(((IPMT(Input!$E$55/12,B372,$C$6,Input!$E$54,-Input!$E$65,0)))," ")</f>
        <v xml:space="preserve"> </v>
      </c>
      <c r="F372" s="6" t="str">
        <f t="shared" si="59"/>
        <v/>
      </c>
      <c r="G372" s="6" t="str">
        <f t="shared" si="58"/>
        <v/>
      </c>
      <c r="H372" s="6" t="str">
        <f t="shared" si="53"/>
        <v/>
      </c>
      <c r="I372" s="6" t="str">
        <f t="shared" si="54"/>
        <v/>
      </c>
      <c r="J372" s="6" t="str">
        <f>IF(B372&lt;&gt;"",IF(AND(Input!$H$54="Annual",MOD(B372,12)=0),Input!$J$54,IF(AND(Input!$H$54="1st Installment",B372=1),Input!$J$54,IF(Input!$H$54="Monthly",Input!$J$54,""))),"")</f>
        <v/>
      </c>
      <c r="K372" s="6" t="str">
        <f>IF(B372&lt;&gt;"",IF(AND(Input!$H$55="Annual",MOD(B372,12)=0),Input!$J$55,IF(AND(Input!$H$55="1st Installment",B372=1),Input!$J$55,IF(Input!$H$55="Monthly",Input!$J$55,""))),"")</f>
        <v/>
      </c>
      <c r="L372" s="6" t="str">
        <f>IF(B372&lt;&gt;"",IF(AND(Input!$H$56="Annual",MOD(B372,12)=0),Input!$J$56,IF(AND(Input!$H$56="1st Installment",B372=1),Input!$J$56,IF(Input!$H$56="Monthly",Input!$J$56,""))),"")</f>
        <v/>
      </c>
      <c r="M372" s="6" t="str">
        <f>IF(B372&lt;&gt;"",IF(AND(Input!$H$57="Annual",MOD(B372,12)=0),Input!$J$57,IF(AND(Input!$H$57="1st Installment",B372=1),Input!$J$57,IF(Input!$H$57="Monthly",Input!$J$57,""))),"")</f>
        <v/>
      </c>
      <c r="N372" s="6" t="str">
        <f>IF(B372&lt;&gt;"",IF(AND(Input!$H$58="Annual",MOD(B372,12)=0),Input!$J$58,IF(AND(Input!$H$58="1st Installment",B372=1),Input!$J$58,IF(Input!$H$58="Monthly",Input!$J$58,IF(AND(Input!$H$58="End of the loan",B372=Input!$E$58),Input!$J$58,"")))),"")</f>
        <v/>
      </c>
      <c r="O372" s="6" t="str">
        <f t="shared" si="60"/>
        <v/>
      </c>
      <c r="P372" s="4" t="str">
        <f t="shared" si="51"/>
        <v/>
      </c>
      <c r="T372" s="9" t="str">
        <f t="shared" si="52"/>
        <v/>
      </c>
      <c r="U372" s="5" t="str">
        <f t="shared" si="55"/>
        <v xml:space="preserve"> </v>
      </c>
    </row>
    <row r="373" spans="2:21">
      <c r="B373" s="16" t="str">
        <f t="shared" si="56"/>
        <v/>
      </c>
      <c r="C373" s="9" t="str">
        <f t="shared" si="57"/>
        <v/>
      </c>
      <c r="D373" s="6" t="str">
        <f>IFERROR((PPMT(Input!$E$55/12,B373,$C$6,Input!$E$54,-Input!$E$65,0))," ")</f>
        <v xml:space="preserve"> </v>
      </c>
      <c r="E373" s="6" t="str">
        <f>IFERROR(((IPMT(Input!$E$55/12,B373,$C$6,Input!$E$54,-Input!$E$65,0)))," ")</f>
        <v xml:space="preserve"> </v>
      </c>
      <c r="F373" s="6" t="str">
        <f t="shared" si="59"/>
        <v/>
      </c>
      <c r="G373" s="6" t="str">
        <f t="shared" si="58"/>
        <v/>
      </c>
      <c r="H373" s="6" t="str">
        <f t="shared" si="53"/>
        <v/>
      </c>
      <c r="I373" s="6" t="str">
        <f t="shared" si="54"/>
        <v/>
      </c>
      <c r="J373" s="6" t="str">
        <f>IF(B373&lt;&gt;"",IF(AND(Input!$H$54="Annual",MOD(B373,12)=0),Input!$J$54,IF(AND(Input!$H$54="1st Installment",B373=1),Input!$J$54,IF(Input!$H$54="Monthly",Input!$J$54,""))),"")</f>
        <v/>
      </c>
      <c r="K373" s="6" t="str">
        <f>IF(B373&lt;&gt;"",IF(AND(Input!$H$55="Annual",MOD(B373,12)=0),Input!$J$55,IF(AND(Input!$H$55="1st Installment",B373=1),Input!$J$55,IF(Input!$H$55="Monthly",Input!$J$55,""))),"")</f>
        <v/>
      </c>
      <c r="L373" s="6" t="str">
        <f>IF(B373&lt;&gt;"",IF(AND(Input!$H$56="Annual",MOD(B373,12)=0),Input!$J$56,IF(AND(Input!$H$56="1st Installment",B373=1),Input!$J$56,IF(Input!$H$56="Monthly",Input!$J$56,""))),"")</f>
        <v/>
      </c>
      <c r="M373" s="6" t="str">
        <f>IF(B373&lt;&gt;"",IF(AND(Input!$H$57="Annual",MOD(B373,12)=0),Input!$J$57,IF(AND(Input!$H$57="1st Installment",B373=1),Input!$J$57,IF(Input!$H$57="Monthly",Input!$J$57,""))),"")</f>
        <v/>
      </c>
      <c r="N373" s="6" t="str">
        <f>IF(B373&lt;&gt;"",IF(AND(Input!$H$58="Annual",MOD(B373,12)=0),Input!$J$58,IF(AND(Input!$H$58="1st Installment",B373=1),Input!$J$58,IF(Input!$H$58="Monthly",Input!$J$58,IF(AND(Input!$H$58="End of the loan",B373=Input!$E$58),Input!$J$58,"")))),"")</f>
        <v/>
      </c>
      <c r="O373" s="6" t="str">
        <f t="shared" si="60"/>
        <v/>
      </c>
      <c r="P373" s="4" t="str">
        <f t="shared" si="51"/>
        <v/>
      </c>
      <c r="T373" s="9" t="str">
        <f t="shared" si="52"/>
        <v/>
      </c>
      <c r="U373" s="5" t="str">
        <f t="shared" si="55"/>
        <v xml:space="preserve"> </v>
      </c>
    </row>
    <row r="374" spans="2:21">
      <c r="B374" s="16" t="str">
        <f t="shared" si="56"/>
        <v/>
      </c>
      <c r="C374" s="9" t="str">
        <f t="shared" si="57"/>
        <v/>
      </c>
      <c r="D374" s="6" t="str">
        <f>IFERROR((PPMT(Input!$E$55/12,B374,$C$6,Input!$E$54,-Input!$E$65,0))," ")</f>
        <v xml:space="preserve"> </v>
      </c>
      <c r="E374" s="6" t="str">
        <f>IFERROR(((IPMT(Input!$E$55/12,B374,$C$6,Input!$E$54,-Input!$E$65,0)))," ")</f>
        <v xml:space="preserve"> </v>
      </c>
      <c r="F374" s="6" t="str">
        <f t="shared" si="59"/>
        <v/>
      </c>
      <c r="G374" s="6" t="str">
        <f t="shared" si="58"/>
        <v/>
      </c>
      <c r="H374" s="6" t="str">
        <f t="shared" si="53"/>
        <v/>
      </c>
      <c r="I374" s="6" t="str">
        <f t="shared" si="54"/>
        <v/>
      </c>
      <c r="J374" s="6" t="str">
        <f>IF(B374&lt;&gt;"",IF(AND(Input!$H$54="Annual",MOD(B374,12)=0),Input!$J$54,IF(AND(Input!$H$54="1st Installment",B374=1),Input!$J$54,IF(Input!$H$54="Monthly",Input!$J$54,""))),"")</f>
        <v/>
      </c>
      <c r="K374" s="6" t="str">
        <f>IF(B374&lt;&gt;"",IF(AND(Input!$H$55="Annual",MOD(B374,12)=0),Input!$J$55,IF(AND(Input!$H$55="1st Installment",B374=1),Input!$J$55,IF(Input!$H$55="Monthly",Input!$J$55,""))),"")</f>
        <v/>
      </c>
      <c r="L374" s="6" t="str">
        <f>IF(B374&lt;&gt;"",IF(AND(Input!$H$56="Annual",MOD(B374,12)=0),Input!$J$56,IF(AND(Input!$H$56="1st Installment",B374=1),Input!$J$56,IF(Input!$H$56="Monthly",Input!$J$56,""))),"")</f>
        <v/>
      </c>
      <c r="M374" s="6" t="str">
        <f>IF(B374&lt;&gt;"",IF(AND(Input!$H$57="Annual",MOD(B374,12)=0),Input!$J$57,IF(AND(Input!$H$57="1st Installment",B374=1),Input!$J$57,IF(Input!$H$57="Monthly",Input!$J$57,""))),"")</f>
        <v/>
      </c>
      <c r="N374" s="6" t="str">
        <f>IF(B374&lt;&gt;"",IF(AND(Input!$H$58="Annual",MOD(B374,12)=0),Input!$J$58,IF(AND(Input!$H$58="1st Installment",B374=1),Input!$J$58,IF(Input!$H$58="Monthly",Input!$J$58,IF(AND(Input!$H$58="End of the loan",B374=Input!$E$58),Input!$J$58,"")))),"")</f>
        <v/>
      </c>
      <c r="O374" s="6" t="str">
        <f t="shared" si="60"/>
        <v/>
      </c>
      <c r="P374" s="4" t="str">
        <f t="shared" si="51"/>
        <v/>
      </c>
      <c r="T374" s="9" t="str">
        <f t="shared" si="52"/>
        <v/>
      </c>
      <c r="U374" s="5" t="str">
        <f t="shared" si="55"/>
        <v xml:space="preserve"> </v>
      </c>
    </row>
    <row r="375" spans="2:21">
      <c r="B375" s="16" t="str">
        <f t="shared" si="56"/>
        <v/>
      </c>
      <c r="C375" s="9" t="str">
        <f t="shared" si="57"/>
        <v/>
      </c>
      <c r="D375" s="6" t="str">
        <f>IFERROR((PPMT(Input!$E$55/12,B375,$C$6,Input!$E$54,-Input!$E$65,0))," ")</f>
        <v xml:space="preserve"> </v>
      </c>
      <c r="E375" s="6" t="str">
        <f>IFERROR(((IPMT(Input!$E$55/12,B375,$C$6,Input!$E$54,-Input!$E$65,0)))," ")</f>
        <v xml:space="preserve"> </v>
      </c>
      <c r="F375" s="6" t="str">
        <f t="shared" si="59"/>
        <v/>
      </c>
      <c r="G375" s="6" t="str">
        <f t="shared" si="58"/>
        <v/>
      </c>
      <c r="H375" s="6" t="str">
        <f t="shared" si="53"/>
        <v/>
      </c>
      <c r="I375" s="6" t="str">
        <f t="shared" si="54"/>
        <v/>
      </c>
      <c r="J375" s="6" t="str">
        <f>IF(B375&lt;&gt;"",IF(AND(Input!$H$54="Annual",MOD(B375,12)=0),Input!$J$54,IF(AND(Input!$H$54="1st Installment",B375=1),Input!$J$54,IF(Input!$H$54="Monthly",Input!$J$54,""))),"")</f>
        <v/>
      </c>
      <c r="K375" s="6" t="str">
        <f>IF(B375&lt;&gt;"",IF(AND(Input!$H$55="Annual",MOD(B375,12)=0),Input!$J$55,IF(AND(Input!$H$55="1st Installment",B375=1),Input!$J$55,IF(Input!$H$55="Monthly",Input!$J$55,""))),"")</f>
        <v/>
      </c>
      <c r="L375" s="6" t="str">
        <f>IF(B375&lt;&gt;"",IF(AND(Input!$H$56="Annual",MOD(B375,12)=0),Input!$J$56,IF(AND(Input!$H$56="1st Installment",B375=1),Input!$J$56,IF(Input!$H$56="Monthly",Input!$J$56,""))),"")</f>
        <v/>
      </c>
      <c r="M375" s="6" t="str">
        <f>IF(B375&lt;&gt;"",IF(AND(Input!$H$57="Annual",MOD(B375,12)=0),Input!$J$57,IF(AND(Input!$H$57="1st Installment",B375=1),Input!$J$57,IF(Input!$H$57="Monthly",Input!$J$57,""))),"")</f>
        <v/>
      </c>
      <c r="N375" s="6" t="str">
        <f>IF(B375&lt;&gt;"",IF(AND(Input!$H$58="Annual",MOD(B375,12)=0),Input!$J$58,IF(AND(Input!$H$58="1st Installment",B375=1),Input!$J$58,IF(Input!$H$58="Monthly",Input!$J$58,IF(AND(Input!$H$58="End of the loan",B375=Input!$E$58),Input!$J$58,"")))),"")</f>
        <v/>
      </c>
      <c r="O375" s="6" t="str">
        <f t="shared" si="60"/>
        <v/>
      </c>
      <c r="P375" s="4" t="str">
        <f t="shared" si="51"/>
        <v/>
      </c>
      <c r="T375" s="9" t="str">
        <f t="shared" si="52"/>
        <v/>
      </c>
      <c r="U375" s="5" t="str">
        <f t="shared" si="55"/>
        <v xml:space="preserve"> </v>
      </c>
    </row>
    <row r="376" spans="2:21">
      <c r="B376" s="16" t="str">
        <f t="shared" si="56"/>
        <v/>
      </c>
      <c r="C376" s="9" t="str">
        <f t="shared" si="57"/>
        <v/>
      </c>
      <c r="D376" s="6" t="str">
        <f>IFERROR((PPMT(Input!$E$55/12,B376,$C$6,Input!$E$54,-Input!$E$65,0))," ")</f>
        <v xml:space="preserve"> </v>
      </c>
      <c r="E376" s="6" t="str">
        <f>IFERROR(((IPMT(Input!$E$55/12,B376,$C$6,Input!$E$54,-Input!$E$65,0)))," ")</f>
        <v xml:space="preserve"> </v>
      </c>
      <c r="F376" s="6" t="str">
        <f t="shared" si="59"/>
        <v/>
      </c>
      <c r="G376" s="6" t="str">
        <f t="shared" si="58"/>
        <v/>
      </c>
      <c r="H376" s="6" t="str">
        <f t="shared" si="53"/>
        <v/>
      </c>
      <c r="I376" s="6" t="str">
        <f>+IFERROR($C$8+F376,"")</f>
        <v/>
      </c>
      <c r="J376" s="6" t="str">
        <f>IF(B376&lt;&gt;"",IF(AND(Input!$H$54="Annual",MOD(B376,12)=0),Input!$J$54,IF(AND(Input!$H$54="1st Installment",B376=1),Input!$J$54,IF(Input!$H$54="Monthly",Input!$J$54,""))),"")</f>
        <v/>
      </c>
      <c r="K376" s="6" t="str">
        <f>IF(B376&lt;&gt;"",IF(AND(Input!$H$55="Annual",MOD(B376,12)=0),Input!$J$55,IF(AND(Input!$H$55="1st Installment",B376=1),Input!$J$55,IF(Input!$H$55="Monthly",Input!$J$55,""))),"")</f>
        <v/>
      </c>
      <c r="L376" s="6" t="str">
        <f>IF(B376&lt;&gt;"",IF(AND(Input!$H$56="Annual",MOD(B376,12)=0),Input!$J$56,IF(AND(Input!$H$56="1st Installment",B376=1),Input!$J$56,IF(Input!$H$56="Monthly",Input!$J$56,""))),"")</f>
        <v/>
      </c>
      <c r="M376" s="6" t="str">
        <f>IF(B376&lt;&gt;"",IF(AND(Input!$H$57="Annual",MOD(B376,12)=0),Input!$J$57,IF(AND(Input!$H$57="1st Installment",B376=1),Input!$J$57,IF(Input!$H$57="Monthly",Input!$J$57,""))),"")</f>
        <v/>
      </c>
      <c r="N376" s="6" t="str">
        <f>IF(B376&lt;&gt;"",IF(AND(Input!$H$58="Annual",MOD(B376,12)=0),Input!$J$58,IF(AND(Input!$H$58="1st Installment",B376=1),Input!$J$58,IF(Input!$H$58="Monthly",Input!$J$58,IF(AND(Input!$H$58="End of the loan",B376=Input!$E$58),Input!$J$58,"")))),"")</f>
        <v/>
      </c>
      <c r="O376" s="6" t="str">
        <f t="shared" si="60"/>
        <v/>
      </c>
      <c r="P376" s="4" t="str">
        <f t="shared" si="51"/>
        <v/>
      </c>
      <c r="T376" s="9" t="str">
        <f t="shared" si="52"/>
        <v/>
      </c>
      <c r="U376" s="5" t="str">
        <f t="shared" si="55"/>
        <v xml:space="preserve"> </v>
      </c>
    </row>
    <row r="377" spans="2:21">
      <c r="B377" s="16" t="str">
        <f t="shared" si="56"/>
        <v/>
      </c>
      <c r="C377" s="9" t="str">
        <f t="shared" si="57"/>
        <v/>
      </c>
      <c r="D377" s="6" t="str">
        <f>IFERROR((PPMT(Input!$E$55/12,B377,$C$6,Input!$E$54,-Input!$E$65,0))," ")</f>
        <v xml:space="preserve"> </v>
      </c>
      <c r="E377" s="6" t="str">
        <f>IFERROR(((IPMT(Input!$E$55/12,B377,$C$6,Input!$E$54,-Input!$E$65,0)))," ")</f>
        <v xml:space="preserve"> </v>
      </c>
      <c r="F377" s="6" t="str">
        <f t="shared" si="59"/>
        <v/>
      </c>
      <c r="G377" s="6" t="str">
        <f t="shared" si="58"/>
        <v/>
      </c>
      <c r="H377" s="6" t="str">
        <f t="shared" si="53"/>
        <v/>
      </c>
      <c r="I377" s="6" t="str">
        <f>+IFERROR($C$8+F377,"")</f>
        <v/>
      </c>
      <c r="J377" s="6" t="str">
        <f>IF(B377&lt;&gt;"",IF(AND(Input!$H$54="Annual",MOD(B377,12)=0),Input!$J$54,IF(AND(Input!$H$54="1st Installment",B377=1),Input!$J$54,IF(Input!$H$54="Monthly",Input!$J$54,""))),"")</f>
        <v/>
      </c>
      <c r="K377" s="6" t="str">
        <f>IF(B377&lt;&gt;"",IF(AND(Input!$H$55="Annual",MOD(B377,12)=0),Input!$J$55,IF(AND(Input!$H$55="1st Installment",B377=1),Input!$J$55,IF(Input!$H$55="Monthly",Input!$J$55,""))),"")</f>
        <v/>
      </c>
      <c r="L377" s="6" t="str">
        <f>IF(B377&lt;&gt;"",IF(AND(Input!$H$56="Annual",MOD(B377,12)=0),Input!$J$56,IF(AND(Input!$H$56="1st Installment",B377=1),Input!$J$56,IF(Input!$H$56="Monthly",Input!$J$56,""))),"")</f>
        <v/>
      </c>
      <c r="M377" s="6" t="str">
        <f>IF(B377&lt;&gt;"",IF(AND(Input!$H$57="Annual",MOD(B377,12)=0),Input!$J$57,IF(AND(Input!$H$57="1st Installment",B377=1),Input!$J$57,IF(Input!$H$57="Monthly",Input!$J$57,""))),"")</f>
        <v/>
      </c>
      <c r="N377" s="6" t="str">
        <f>IF(B377&lt;&gt;"",IF(AND(Input!$H$58="Annual",MOD(B377,12)=0),Input!$J$58,IF(AND(Input!$H$58="1st Installment",B377=1),Input!$J$58,IF(Input!$H$58="Monthly",Input!$J$58,IF(AND(Input!$H$58="End of the loan",B377=Input!$E$58),Input!$J$58,"")))),"")</f>
        <v/>
      </c>
      <c r="O377" s="6" t="str">
        <f t="shared" si="60"/>
        <v/>
      </c>
      <c r="P377" s="4" t="str">
        <f t="shared" si="51"/>
        <v/>
      </c>
      <c r="T377" s="9" t="str">
        <f t="shared" si="52"/>
        <v/>
      </c>
      <c r="U377" s="5" t="str">
        <f t="shared" si="55"/>
        <v xml:space="preserve"> </v>
      </c>
    </row>
    <row r="378" spans="2:21">
      <c r="B378" s="16" t="str">
        <f t="shared" si="56"/>
        <v/>
      </c>
      <c r="C378" s="9" t="str">
        <f t="shared" si="57"/>
        <v/>
      </c>
      <c r="D378" s="6" t="str">
        <f>IFERROR((PPMT(Input!$E$55/12,B378,$C$6,Input!$E$54,-Input!$E$65,0))," ")</f>
        <v xml:space="preserve"> </v>
      </c>
      <c r="E378" s="6" t="str">
        <f>IFERROR(((IPMT(Input!$E$55/12,B378,$C$6,Input!$E$54,-Input!$E$65,0)))," ")</f>
        <v xml:space="preserve"> </v>
      </c>
      <c r="F378" s="6" t="str">
        <f t="shared" ref="F378:F385" si="61">IF(B378&lt;=$C$6,F377+D378,"")</f>
        <v/>
      </c>
      <c r="G378" s="6" t="str">
        <f t="shared" si="58"/>
        <v/>
      </c>
      <c r="H378" s="6" t="str">
        <f t="shared" si="53"/>
        <v/>
      </c>
      <c r="I378" s="6"/>
      <c r="J378" s="6"/>
      <c r="K378" s="6"/>
      <c r="L378" s="6"/>
      <c r="M378" s="6" t="str">
        <f>IF(B378&lt;&gt;"",IF(AND(Input!$H$57="Annual",MOD(B378,12)=0),Input!$J$57,IF(AND(Input!$H$57="1st Installment",B378=1),Input!$J$57,IF(Input!$H$57="Monthly",Input!$J$57,""))),"")</f>
        <v/>
      </c>
      <c r="N378" s="6" t="str">
        <f>IF(B378&lt;&gt;"",IF(AND(Input!$H$58="Annual",MOD(B378,12)=0),Input!$J$58,IF(AND(Input!$H$58="1st Installment",B378=1),Input!$J$58,IF(Input!$H$58="Monthly",Input!$J$58,IF(AND(Input!$H$58="End of the loan",B378=Input!$E$58),Input!$J$58,"")))),"")</f>
        <v/>
      </c>
      <c r="O378" s="6" t="str">
        <f t="shared" si="60"/>
        <v/>
      </c>
      <c r="P378" s="4" t="str">
        <f t="shared" si="51"/>
        <v/>
      </c>
      <c r="T378" s="9" t="str">
        <f t="shared" si="52"/>
        <v/>
      </c>
      <c r="U378" s="5" t="str">
        <f t="shared" si="55"/>
        <v xml:space="preserve"> </v>
      </c>
    </row>
    <row r="379" spans="2:21">
      <c r="B379" s="16" t="str">
        <f t="shared" si="56"/>
        <v/>
      </c>
      <c r="C379" s="9" t="str">
        <f t="shared" si="57"/>
        <v/>
      </c>
      <c r="D379" s="6" t="str">
        <f>IFERROR((PPMT(Input!$E$55/12,B379,$C$6,Input!$E$54,-Input!$E$65,0))," ")</f>
        <v xml:space="preserve"> </v>
      </c>
      <c r="E379" s="6" t="str">
        <f>IFERROR(((IPMT(Input!$E$55/12,B379,$C$6,Input!$E$54,-Input!$E$65,0)))," ")</f>
        <v xml:space="preserve"> </v>
      </c>
      <c r="F379" s="6" t="str">
        <f t="shared" si="61"/>
        <v/>
      </c>
      <c r="G379" s="6" t="str">
        <f t="shared" si="58"/>
        <v/>
      </c>
      <c r="H379" s="6" t="str">
        <f t="shared" si="53"/>
        <v/>
      </c>
      <c r="I379" s="6"/>
      <c r="J379" s="6"/>
      <c r="K379" s="6"/>
      <c r="L379" s="6"/>
      <c r="M379" s="6" t="str">
        <f>IF(B379&lt;&gt;"",IF(AND(Input!$H$57="Annual",MOD(B379,12)=0),Input!$J$57,IF(AND(Input!$H$57="1st Installment",B379=1),Input!$J$57,IF(Input!$H$57="Monthly",Input!$J$57,""))),"")</f>
        <v/>
      </c>
      <c r="N379" s="6" t="str">
        <f>IF(B379&lt;&gt;"",IF(AND(Input!$H$58="Annual",MOD(B379,12)=0),Input!$J$58,IF(AND(Input!$H$58="1st Installment",B379=1),Input!$J$58,IF(Input!$H$58="Monthly",Input!$J$58,IF(AND(Input!$H$58="End of the loan",B379=Input!$E$58),Input!$J$58,"")))),"")</f>
        <v/>
      </c>
      <c r="O379" s="6" t="str">
        <f t="shared" si="60"/>
        <v/>
      </c>
      <c r="P379" s="4" t="str">
        <f t="shared" si="51"/>
        <v/>
      </c>
      <c r="T379" s="9" t="str">
        <f t="shared" si="52"/>
        <v/>
      </c>
      <c r="U379" s="5" t="str">
        <f t="shared" si="55"/>
        <v xml:space="preserve"> </v>
      </c>
    </row>
    <row r="380" spans="2:21">
      <c r="B380" s="16" t="str">
        <f t="shared" si="56"/>
        <v/>
      </c>
      <c r="C380" s="9" t="str">
        <f t="shared" si="57"/>
        <v/>
      </c>
      <c r="D380" s="6" t="str">
        <f>IFERROR((PPMT(Input!$E$55/12,B380,$C$6,Input!$E$54,-Input!$E$65,0))," ")</f>
        <v xml:space="preserve"> </v>
      </c>
      <c r="E380" s="6" t="str">
        <f>IFERROR(((IPMT(Input!$E$55/12,B380,$C$6,Input!$E$54,-Input!$E$65,0)))," ")</f>
        <v xml:space="preserve"> </v>
      </c>
      <c r="F380" s="6" t="str">
        <f t="shared" si="61"/>
        <v/>
      </c>
      <c r="G380" s="6" t="str">
        <f t="shared" si="58"/>
        <v/>
      </c>
      <c r="H380" s="6" t="str">
        <f t="shared" si="53"/>
        <v/>
      </c>
      <c r="I380" s="6"/>
      <c r="J380" s="6"/>
      <c r="K380" s="6"/>
      <c r="L380" s="6"/>
      <c r="M380" s="6" t="str">
        <f>IF(B380&lt;&gt;"",IF(AND(Input!$H$57="Annual",MOD(B380,12)=0),Input!$J$57,IF(AND(Input!$H$57="1st Installment",B380=1),Input!$J$57,IF(Input!$H$57="Monthly",Input!$J$57,""))),"")</f>
        <v/>
      </c>
      <c r="N380" s="6" t="str">
        <f>IF(B380&lt;&gt;"",IF(AND(Input!$H$58="Annual",MOD(B380,12)=0),Input!$J$58,IF(AND(Input!$H$58="1st Installment",B380=1),Input!$J$58,IF(Input!$H$58="Monthly",Input!$J$58,IF(AND(Input!$H$58="End of the loan",B380=Input!$E$58),Input!$J$58,"")))),"")</f>
        <v/>
      </c>
      <c r="O380" s="6" t="str">
        <f t="shared" si="60"/>
        <v/>
      </c>
      <c r="P380" s="4" t="str">
        <f t="shared" si="51"/>
        <v/>
      </c>
      <c r="T380" s="9" t="str">
        <f t="shared" si="52"/>
        <v/>
      </c>
      <c r="U380" s="5" t="str">
        <f t="shared" si="55"/>
        <v xml:space="preserve"> </v>
      </c>
    </row>
    <row r="381" spans="2:21">
      <c r="B381" s="16" t="str">
        <f t="shared" si="56"/>
        <v/>
      </c>
      <c r="C381" s="9" t="str">
        <f t="shared" si="57"/>
        <v/>
      </c>
      <c r="D381" s="6" t="str">
        <f>IFERROR((PPMT(Input!$E$55/12,B381,$C$6,Input!$E$54,-Input!$E$65,0))," ")</f>
        <v xml:space="preserve"> </v>
      </c>
      <c r="E381" s="6" t="str">
        <f>IFERROR(((IPMT(Input!$E$55/12,B381,$C$6,Input!$E$54,-Input!$E$65,0)))," ")</f>
        <v xml:space="preserve"> </v>
      </c>
      <c r="F381" s="6" t="str">
        <f t="shared" si="61"/>
        <v/>
      </c>
      <c r="G381" s="6" t="str">
        <f t="shared" si="58"/>
        <v/>
      </c>
      <c r="H381" s="6" t="str">
        <f t="shared" si="53"/>
        <v/>
      </c>
      <c r="I381" s="6"/>
      <c r="J381" s="6"/>
      <c r="K381" s="6"/>
      <c r="L381" s="6"/>
      <c r="M381" s="6" t="str">
        <f>IF(B381&lt;&gt;"",IF(AND(Input!$H$57="Annual",MOD(B381,12)=0),Input!$J$57,IF(AND(Input!$H$57="1st Installment",B381=1),Input!$J$57,IF(Input!$H$57="Monthly",Input!$J$57,""))),"")</f>
        <v/>
      </c>
      <c r="N381" s="6" t="str">
        <f>IF(B381&lt;&gt;"",IF(AND(Input!$H$58="Annual",MOD(B381,12)=0),Input!$J$58,IF(AND(Input!$H$58="1st Installment",B381=1),Input!$J$58,IF(Input!$H$58="Monthly",Input!$J$58,IF(AND(Input!$H$58="End of the loan",B381=Input!$E$58),Input!$J$58,"")))),"")</f>
        <v/>
      </c>
      <c r="O381" s="6" t="str">
        <f t="shared" si="60"/>
        <v/>
      </c>
      <c r="P381" s="4" t="str">
        <f t="shared" si="51"/>
        <v/>
      </c>
      <c r="T381" s="9" t="str">
        <f t="shared" si="52"/>
        <v/>
      </c>
      <c r="U381" s="5" t="str">
        <f t="shared" si="55"/>
        <v xml:space="preserve"> </v>
      </c>
    </row>
    <row r="382" spans="2:21">
      <c r="B382" s="16" t="str">
        <f t="shared" si="56"/>
        <v/>
      </c>
      <c r="C382" s="9" t="str">
        <f t="shared" si="57"/>
        <v/>
      </c>
      <c r="D382" s="6" t="str">
        <f>IFERROR((PPMT(Input!$E$55/12,B382,$C$6,Input!$E$54,-Input!$E$65,0))," ")</f>
        <v xml:space="preserve"> </v>
      </c>
      <c r="E382" s="6" t="str">
        <f>IFERROR(((IPMT(Input!$E$55/12,B382,$C$6,Input!$E$54,-Input!$E$65,0)))," ")</f>
        <v xml:space="preserve"> </v>
      </c>
      <c r="F382" s="6" t="str">
        <f t="shared" si="61"/>
        <v/>
      </c>
      <c r="G382" s="6" t="str">
        <f t="shared" si="58"/>
        <v/>
      </c>
      <c r="H382" s="6" t="str">
        <f t="shared" si="53"/>
        <v/>
      </c>
      <c r="I382" s="6"/>
      <c r="J382" s="6"/>
      <c r="K382" s="6"/>
      <c r="L382" s="6"/>
      <c r="M382" s="6" t="str">
        <f>IF(B382&lt;&gt;"",IF(AND(Input!$H$57="Annual",MOD(B382,12)=0),Input!$J$57,IF(AND(Input!$H$57="1st Installment",B382=1),Input!$J$57,IF(Input!$H$57="Monthly",Input!$J$57,""))),"")</f>
        <v/>
      </c>
      <c r="N382" s="6" t="str">
        <f>IF(B382&lt;&gt;"",IF(AND(Input!$H$58="Annual",MOD(B382,12)=0),Input!$J$58,IF(AND(Input!$H$58="1st Installment",B382=1),Input!$J$58,IF(Input!$H$58="Monthly",Input!$J$58,IF(AND(Input!$H$58="End of the loan",B382=Input!$E$58),Input!$J$58,"")))),"")</f>
        <v/>
      </c>
      <c r="O382" s="6" t="str">
        <f t="shared" si="60"/>
        <v/>
      </c>
      <c r="P382" s="4" t="str">
        <f t="shared" si="51"/>
        <v/>
      </c>
      <c r="T382" s="9" t="str">
        <f t="shared" si="52"/>
        <v/>
      </c>
      <c r="U382" s="5" t="str">
        <f t="shared" si="55"/>
        <v xml:space="preserve"> </v>
      </c>
    </row>
    <row r="383" spans="2:21">
      <c r="B383" s="16" t="str">
        <f t="shared" si="56"/>
        <v/>
      </c>
      <c r="C383" s="9" t="str">
        <f t="shared" si="57"/>
        <v/>
      </c>
      <c r="D383" s="6" t="str">
        <f>IFERROR((PPMT(Input!$E$55/12,B383,$C$6,Input!$E$54,-Input!$E$65,0))," ")</f>
        <v xml:space="preserve"> </v>
      </c>
      <c r="E383" s="6" t="str">
        <f>IFERROR(((IPMT(Input!$E$55/12,B383,$C$6,Input!$E$54,-Input!$E$65,0)))," ")</f>
        <v xml:space="preserve"> </v>
      </c>
      <c r="F383" s="6" t="str">
        <f t="shared" si="61"/>
        <v/>
      </c>
      <c r="G383" s="6" t="str">
        <f t="shared" si="58"/>
        <v/>
      </c>
      <c r="H383" s="6" t="str">
        <f t="shared" si="53"/>
        <v/>
      </c>
      <c r="I383" s="6"/>
      <c r="J383" s="6"/>
      <c r="K383" s="6"/>
      <c r="L383" s="6"/>
      <c r="M383" s="6" t="str">
        <f>IF(B383&lt;&gt;"",IF(AND(Input!$H$57="Annual",MOD(B383,12)=0),Input!$J$57,IF(AND(Input!$H$57="1st Installment",B383=1),Input!$J$57,IF(Input!$H$57="Monthly",Input!$J$57,""))),"")</f>
        <v/>
      </c>
      <c r="N383" s="6" t="str">
        <f>IF(B383&lt;&gt;"",IF(AND(Input!$H$58="Annual",MOD(B383,12)=0),Input!$J$58,IF(AND(Input!$H$58="1st Installment",B383=1),Input!$J$58,IF(Input!$H$58="Monthly",Input!$J$58,IF(AND(Input!$H$58="End of the loan",B383=Input!$E$58),Input!$J$58,"")))),"")</f>
        <v/>
      </c>
      <c r="O383" s="6" t="str">
        <f t="shared" si="60"/>
        <v/>
      </c>
      <c r="P383" s="4" t="str">
        <f t="shared" si="51"/>
        <v/>
      </c>
      <c r="T383" s="9" t="str">
        <f t="shared" si="52"/>
        <v/>
      </c>
      <c r="U383" s="5" t="str">
        <f t="shared" si="55"/>
        <v xml:space="preserve"> </v>
      </c>
    </row>
    <row r="384" spans="2:21">
      <c r="B384" s="16" t="str">
        <f t="shared" si="56"/>
        <v/>
      </c>
      <c r="C384" s="9" t="str">
        <f t="shared" si="57"/>
        <v/>
      </c>
      <c r="D384" s="6" t="str">
        <f>IFERROR((PPMT(Input!$E$55/12,B384,$C$6,Input!$E$54,-Input!$E$65,0))," ")</f>
        <v xml:space="preserve"> </v>
      </c>
      <c r="E384" s="6" t="str">
        <f>IFERROR(((IPMT(Input!$E$55/12,B384,$C$6,Input!$E$54,-Input!$E$65,0)))," ")</f>
        <v xml:space="preserve"> </v>
      </c>
      <c r="F384" s="6" t="str">
        <f t="shared" si="61"/>
        <v/>
      </c>
      <c r="G384" s="6" t="str">
        <f t="shared" si="58"/>
        <v/>
      </c>
      <c r="H384" s="6" t="str">
        <f t="shared" si="53"/>
        <v/>
      </c>
      <c r="I384" s="6"/>
      <c r="J384" s="6"/>
      <c r="K384" s="6"/>
      <c r="L384" s="6"/>
      <c r="M384" s="6" t="str">
        <f>IF(B384&lt;&gt;"",IF(AND(Input!$H$57="Annual",MOD(B384,12)=0),Input!$J$57,IF(AND(Input!$H$57="1st Installment",B384=1),Input!$J$57,IF(Input!$H$57="Monthly",Input!$J$57,""))),"")</f>
        <v/>
      </c>
      <c r="N384" s="6" t="str">
        <f>IF(B384&lt;&gt;"",IF(AND(Input!$H$58="Annual",MOD(B384,12)=0),Input!$J$58,IF(AND(Input!$H$58="1st Installment",B384=1),Input!$J$58,IF(Input!$H$58="Monthly",Input!$J$58,IF(AND(Input!$H$58="End of the loan",B384=Input!$E$58),Input!$J$58,"")))),"")</f>
        <v/>
      </c>
      <c r="O384" s="6" t="str">
        <f t="shared" si="60"/>
        <v/>
      </c>
      <c r="P384" s="4" t="str">
        <f t="shared" si="51"/>
        <v/>
      </c>
      <c r="T384" s="9" t="str">
        <f t="shared" si="52"/>
        <v/>
      </c>
      <c r="U384" s="5" t="str">
        <f t="shared" si="55"/>
        <v xml:space="preserve"> </v>
      </c>
    </row>
    <row r="385" spans="2:21">
      <c r="B385" s="16" t="str">
        <f t="shared" si="56"/>
        <v/>
      </c>
      <c r="C385" s="9" t="str">
        <f t="shared" si="57"/>
        <v/>
      </c>
      <c r="D385" s="6" t="str">
        <f>IFERROR((PPMT(Input!$E$55/12,B385,$C$6,Input!$E$54,-Input!$E$65,0))," ")</f>
        <v xml:space="preserve"> </v>
      </c>
      <c r="E385" s="6" t="str">
        <f>IFERROR(((IPMT(Input!$E$55/12,B385,$C$6,Input!$E$54,-Input!$E$65,0)))," ")</f>
        <v xml:space="preserve"> </v>
      </c>
      <c r="F385" s="6" t="str">
        <f t="shared" si="61"/>
        <v/>
      </c>
      <c r="G385" s="6" t="str">
        <f t="shared" si="58"/>
        <v/>
      </c>
      <c r="H385" s="6" t="str">
        <f t="shared" si="53"/>
        <v/>
      </c>
      <c r="I385" s="6"/>
      <c r="J385" s="6"/>
      <c r="K385" s="6"/>
      <c r="L385" s="6"/>
      <c r="M385" s="6" t="str">
        <f>IF(B385&lt;&gt;"",IF(AND(Input!$H$57="Annual",MOD(B385,12)=0),Input!$J$57,IF(AND(Input!$H$57="1st Installment",B385=1),Input!$J$57,IF(Input!$H$57="Monthly",Input!$J$57,""))),"")</f>
        <v/>
      </c>
      <c r="N385" s="6" t="str">
        <f>IF(B385&lt;&gt;"",IF(AND(Input!$H$58="Annual",MOD(B385,12)=0),Input!$J$58,IF(AND(Input!$H$58="1st Installment",B385=1),Input!$J$58,IF(Input!$H$58="Monthly",Input!$J$58,IF(AND(Input!$H$58="End of the loan",B385=Input!$E$58),Input!$J$58,"")))),"")</f>
        <v/>
      </c>
      <c r="O385" s="6" t="str">
        <f t="shared" si="60"/>
        <v/>
      </c>
      <c r="P385" s="4" t="str">
        <f t="shared" si="51"/>
        <v/>
      </c>
      <c r="T385" s="9" t="str">
        <f t="shared" si="52"/>
        <v/>
      </c>
      <c r="U385" s="5" t="str">
        <f t="shared" si="55"/>
        <v xml:space="preserve"> </v>
      </c>
    </row>
    <row r="386" spans="2:21">
      <c r="M386" s="6"/>
    </row>
  </sheetData>
  <sheetProtection algorithmName="SHA-512" hashValue="Xb4gdO4wfAlY1BbsxsOVy5Wf4bwf5gmxwLck0Imq4iJYsnLhSE+YjjMGR5cOdGpjHMRx1/4xrOGrkYlvD6cVMQ==" saltValue="2mHdG1p8ASJ7+JH8+o3WTA==" spinCount="100000" sheet="1" objects="1" scenarios="1"/>
  <mergeCells count="4">
    <mergeCell ref="B4:F4"/>
    <mergeCell ref="T15:U15"/>
    <mergeCell ref="B2:P2"/>
    <mergeCell ref="H15:I15"/>
  </mergeCells>
  <pageMargins left="0.7" right="0.7" top="0.75" bottom="0.75" header="0.3" footer="0.3"/>
  <pageSetup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9"/>
  <sheetViews>
    <sheetView showGridLines="0" topLeftCell="B1" zoomScale="106" zoomScaleNormal="106" workbookViewId="0">
      <selection activeCell="C8" sqref="C8"/>
    </sheetView>
  </sheetViews>
  <sheetFormatPr defaultColWidth="8.90625" defaultRowHeight="11.5"/>
  <cols>
    <col min="1" max="1" width="0" style="1" hidden="1" customWidth="1"/>
    <col min="2" max="7" width="24.36328125" style="1" customWidth="1"/>
    <col min="8" max="8" width="29.08984375" style="1" bestFit="1" customWidth="1"/>
    <col min="9" max="13" width="24.36328125" style="1" customWidth="1"/>
    <col min="14" max="14" width="17.36328125" style="1" bestFit="1" customWidth="1"/>
    <col min="15" max="15" width="11" style="1" bestFit="1" customWidth="1"/>
    <col min="16" max="16" width="12" style="1" bestFit="1" customWidth="1"/>
    <col min="17" max="17" width="8.90625" style="1"/>
    <col min="18" max="18" width="10.453125" style="1" bestFit="1" customWidth="1"/>
    <col min="19" max="19" width="11.6328125" style="1" bestFit="1" customWidth="1"/>
    <col min="20" max="20" width="10.54296875" style="1" bestFit="1" customWidth="1"/>
    <col min="21" max="16384" width="8.90625" style="1"/>
  </cols>
  <sheetData>
    <row r="2" spans="2:19" ht="17" customHeight="1">
      <c r="B2" s="172" t="s">
        <v>14</v>
      </c>
      <c r="C2" s="172"/>
      <c r="D2" s="172"/>
      <c r="E2" s="172"/>
      <c r="F2" s="172"/>
      <c r="G2" s="172"/>
      <c r="H2" s="172"/>
      <c r="I2" s="172"/>
      <c r="J2" s="172"/>
      <c r="K2" s="172"/>
      <c r="L2" s="172"/>
      <c r="M2" s="172"/>
      <c r="N2" s="172"/>
    </row>
    <row r="4" spans="2:19">
      <c r="B4" s="170" t="s">
        <v>19</v>
      </c>
      <c r="C4" s="170"/>
      <c r="D4" s="170"/>
      <c r="E4" s="170"/>
      <c r="F4" s="170"/>
    </row>
    <row r="6" spans="2:19">
      <c r="B6" s="3" t="s">
        <v>17</v>
      </c>
      <c r="C6" s="3">
        <v>12</v>
      </c>
      <c r="E6" s="17" t="s">
        <v>7</v>
      </c>
      <c r="F6" s="14">
        <f>XIRR(S17:S29,R17:R29)</f>
        <v>0.11770218014717104</v>
      </c>
    </row>
    <row r="8" spans="2:19">
      <c r="B8" s="3" t="s">
        <v>2</v>
      </c>
      <c r="C8" s="5">
        <f>Input!E74</f>
        <v>30000</v>
      </c>
    </row>
    <row r="9" spans="2:19">
      <c r="B9" s="3" t="s">
        <v>114</v>
      </c>
      <c r="C9" s="5">
        <f>-SUM(E18:E29)</f>
        <v>1649.7194028034521</v>
      </c>
    </row>
    <row r="10" spans="2:19">
      <c r="B10" s="3" t="s">
        <v>8</v>
      </c>
      <c r="C10" s="5">
        <f>SUM($M$17:$M$29)</f>
        <v>140</v>
      </c>
    </row>
    <row r="11" spans="2:19">
      <c r="B11" s="3" t="s">
        <v>42</v>
      </c>
      <c r="C11" s="9">
        <f>EDATE(Input!E79,C6)</f>
        <v>44953</v>
      </c>
      <c r="S11" s="8"/>
    </row>
    <row r="12" spans="2:19">
      <c r="S12" s="8"/>
    </row>
    <row r="13" spans="2:19">
      <c r="I13" s="2"/>
      <c r="O13" s="15"/>
      <c r="S13" s="7"/>
    </row>
    <row r="14" spans="2:19">
      <c r="F14" s="12"/>
      <c r="O14" s="7"/>
      <c r="P14" s="8"/>
      <c r="Q14" s="8"/>
    </row>
    <row r="15" spans="2:19">
      <c r="M15" s="12"/>
      <c r="R15" s="171" t="s">
        <v>39</v>
      </c>
      <c r="S15" s="171"/>
    </row>
    <row r="16" spans="2:19">
      <c r="B16" s="13" t="s">
        <v>3</v>
      </c>
      <c r="C16" s="13" t="s">
        <v>4</v>
      </c>
      <c r="D16" s="13" t="s">
        <v>5</v>
      </c>
      <c r="E16" s="13" t="s">
        <v>114</v>
      </c>
      <c r="F16" s="13" t="s">
        <v>10</v>
      </c>
      <c r="G16" s="13" t="s">
        <v>115</v>
      </c>
      <c r="H16" s="13" t="s">
        <v>6</v>
      </c>
      <c r="I16" s="13" t="s">
        <v>11</v>
      </c>
      <c r="J16" s="13" t="s">
        <v>33</v>
      </c>
      <c r="K16" s="13" t="s">
        <v>34</v>
      </c>
      <c r="L16" s="13" t="s">
        <v>55</v>
      </c>
      <c r="M16" s="13" t="s">
        <v>15</v>
      </c>
      <c r="N16" s="13" t="s">
        <v>16</v>
      </c>
      <c r="R16" s="13" t="s">
        <v>40</v>
      </c>
      <c r="S16" s="13" t="s">
        <v>41</v>
      </c>
    </row>
    <row r="17" spans="2:21">
      <c r="B17" s="16">
        <v>0</v>
      </c>
      <c r="C17" s="9">
        <f>Input!E78</f>
        <v>44562</v>
      </c>
      <c r="D17" s="6">
        <v>0</v>
      </c>
      <c r="E17" s="6">
        <v>0</v>
      </c>
      <c r="F17" s="6">
        <v>0</v>
      </c>
      <c r="G17" s="6">
        <v>0</v>
      </c>
      <c r="H17" s="6">
        <v>0</v>
      </c>
      <c r="I17" s="6">
        <v>0</v>
      </c>
      <c r="J17" s="6" t="str">
        <f>IF(AND(Input!$H$73="Upfront Payment",B17=0),Input!$J$73,"")</f>
        <v/>
      </c>
      <c r="K17" s="6" t="str">
        <f>IF(AND(Input!$H$74="Upfront Payment",B17=0),Input!$J$74,"")</f>
        <v/>
      </c>
      <c r="L17" s="6" t="str">
        <f>IF(AND(Input!$H$75="Upfront Payment",B17=0),Input!$J$75,"")</f>
        <v/>
      </c>
      <c r="M17" s="6">
        <f t="shared" ref="M17:M29" si="0">IF(B17&lt;&gt;"",SUM(J17:L17),"")</f>
        <v>0</v>
      </c>
      <c r="N17" s="4">
        <f t="shared" ref="N17:N29" si="1">IF(B17&lt;&gt;"",(-H17+M17),"")</f>
        <v>0</v>
      </c>
      <c r="R17" s="9">
        <f>Input!E78</f>
        <v>44562</v>
      </c>
      <c r="S17" s="5">
        <f>-(C8-N17)</f>
        <v>-30000</v>
      </c>
      <c r="T17" s="137"/>
      <c r="U17" s="8"/>
    </row>
    <row r="18" spans="2:21">
      <c r="B18" s="16">
        <v>1</v>
      </c>
      <c r="C18" s="9">
        <f>Input!E79</f>
        <v>44588</v>
      </c>
      <c r="D18" s="6">
        <f>IFERROR(PPMT(Input!$E$75/12,B18,$C$6,Input!$E$74)," ")</f>
        <v>-2387.4766169002883</v>
      </c>
      <c r="E18" s="6">
        <f>IFERROR(IPMT(Input!$E$75/12,B18,$C$6,Input!$E$74)," ")</f>
        <v>-250.00000000000003</v>
      </c>
      <c r="F18" s="6">
        <f>D18</f>
        <v>-2387.4766169002883</v>
      </c>
      <c r="G18" s="6">
        <f>E18</f>
        <v>-250.00000000000003</v>
      </c>
      <c r="H18" s="6">
        <f>D18+E18</f>
        <v>-2637.4766169002883</v>
      </c>
      <c r="I18" s="6">
        <f>C8+D18</f>
        <v>27612.523383099713</v>
      </c>
      <c r="J18" s="6">
        <f>IF(B18&lt;&gt;"",IF(AND(Input!$H$73="Annual",MOD(B18,12)=0),Input!$J$73,IF(AND(Input!$H$73="1st Installment",B18=1),Input!$J$73,IF(Input!$H$73="Monthly",Input!$J$73,""))),"")</f>
        <v>115</v>
      </c>
      <c r="K18" s="6">
        <f>IF(B18&lt;&gt;"",IF(AND(Input!$H$74="Annual",MOD(B18,12)=0),Input!$J$74,IF(AND(Input!$H$74="1st Installment",B18=1),Input!$J$74,IF(Input!$H$74="Monthly",Input!$J$74,""))),"")</f>
        <v>25</v>
      </c>
      <c r="L18" s="6">
        <f>IF(B18&lt;&gt;"",IF(AND(Input!$H$75="Annual",MOD(B18,12)=0),Input!$J$75,IF(AND(Input!$H$75="1st Installment",B18=1),Input!$J$75,IF(Input!$H$75="Monthly",Input!$J$75,IF(AND(Input!$H$75="End of the loan",B18=12),Input!$J$75,"")))),"")</f>
        <v>0</v>
      </c>
      <c r="M18" s="6">
        <f t="shared" si="0"/>
        <v>140</v>
      </c>
      <c r="N18" s="4">
        <f t="shared" si="1"/>
        <v>2777.4766169002883</v>
      </c>
      <c r="R18" s="9">
        <f>Input!E79</f>
        <v>44588</v>
      </c>
      <c r="S18" s="5">
        <f>IFERROR(ROUND((_xlfn.IFNA(VLOOKUP(R18,$C$18:$N$29,12,0),0)),2)," ")</f>
        <v>2777.48</v>
      </c>
      <c r="T18" s="137"/>
      <c r="U18" s="65"/>
    </row>
    <row r="19" spans="2:21">
      <c r="B19" s="16">
        <f>IF(B18="","",IF((B18+1)&lt;=$C$6,B18+1,""))</f>
        <v>2</v>
      </c>
      <c r="C19" s="9">
        <f>IF(B19="","",EDATE(C18,1))</f>
        <v>44619</v>
      </c>
      <c r="D19" s="6">
        <f>IFERROR(IF(B19&lt;&gt;"",PPMT(Input!$E$75/12,B19,$C$6,Input!$E$74),"")," ")</f>
        <v>-2407.3722553744574</v>
      </c>
      <c r="E19" s="6">
        <f>IFERROR(IPMT(Input!$E$75/12,B19,$C$6,Input!$E$74)," ")</f>
        <v>-230.10436152583094</v>
      </c>
      <c r="F19" s="6">
        <f t="shared" ref="F19:F29" si="2">IF(B19&lt;&gt;"",F18+D19,"")</f>
        <v>-4794.8488722747461</v>
      </c>
      <c r="G19" s="6">
        <f t="shared" ref="G19:G29" si="3">IF(B19&lt;&gt;"",G18+E19,"")</f>
        <v>-480.104361525831</v>
      </c>
      <c r="H19" s="6">
        <f t="shared" ref="H19:H29" si="4">IF(B19&lt;&gt;"",D19+E19,"")</f>
        <v>-2637.4766169002883</v>
      </c>
      <c r="I19" s="6">
        <f t="shared" ref="I19:I29" si="5">IF(B19&lt;&gt;"",I18+D19,"")</f>
        <v>25205.151127725258</v>
      </c>
      <c r="J19" s="6" t="str">
        <f>IF(B19&lt;&gt;"",IF(AND(Input!$H$73="Annual",MOD(B19,12)=0),Input!$J$73,IF(AND(Input!$H$73="1st Installment",B19=1),Input!$J$73,IF(Input!$H$73="Monthly",Input!$J$73,""))),"")</f>
        <v/>
      </c>
      <c r="K19" s="6" t="str">
        <f>IF(B19&lt;&gt;"",IF(AND(Input!$H$74="Annual",MOD(B19,12)=0),Input!$J$74,IF(AND(Input!$H$74="1st Installment",B19=1),Input!$J$74,IF(Input!$H$74="Monthly",Input!$J$74,""))),"")</f>
        <v/>
      </c>
      <c r="L19" s="6" t="str">
        <f>IF(B19&lt;&gt;"",IF(AND(Input!$H$75="Annual",MOD(B19,12)=0),Input!$J$75,IF(AND(Input!$H$75="1st Installment",B19=1),Input!$J$75,IF(Input!$H$75="Monthly",Input!$J$75,IF(AND(Input!$H$75="End of the loan",B19=12),Input!$J$75,"")))),"")</f>
        <v/>
      </c>
      <c r="M19" s="6">
        <f t="shared" si="0"/>
        <v>0</v>
      </c>
      <c r="N19" s="4">
        <f t="shared" si="1"/>
        <v>2637.4766169002883</v>
      </c>
      <c r="R19" s="9">
        <f>EDATE(R18,1)</f>
        <v>44619</v>
      </c>
      <c r="S19" s="5">
        <f t="shared" ref="S19:S29" si="6">IFERROR(ROUND((_xlfn.IFNA(VLOOKUP(R19,$C$18:$N$29,12,0),0)),2)," ")</f>
        <v>2637.48</v>
      </c>
      <c r="T19" s="137"/>
      <c r="U19" s="65"/>
    </row>
    <row r="20" spans="2:21">
      <c r="B20" s="16">
        <f t="shared" ref="B20:B29" si="7">IF(B19="","",IF((B19+1)&lt;=$C$6,B19+1,""))</f>
        <v>3</v>
      </c>
      <c r="C20" s="9">
        <f t="shared" ref="C20:C29" si="8">IF(B20="","",EDATE(C19,1))</f>
        <v>44647</v>
      </c>
      <c r="D20" s="6">
        <f>IFERROR(IF(B20&lt;&gt;"",PPMT(Input!$E$75/12,B20,$C$6,Input!$E$74),"")," ")</f>
        <v>-2427.433690835911</v>
      </c>
      <c r="E20" s="6">
        <f>IFERROR(IPMT(Input!$E$75/12,B20,$C$6,Input!$E$74)," ")</f>
        <v>-210.04292606437718</v>
      </c>
      <c r="F20" s="6">
        <f t="shared" si="2"/>
        <v>-7222.2825631106571</v>
      </c>
      <c r="G20" s="6">
        <f t="shared" si="3"/>
        <v>-690.14728759020818</v>
      </c>
      <c r="H20" s="6">
        <f t="shared" si="4"/>
        <v>-2637.4766169002883</v>
      </c>
      <c r="I20" s="6">
        <f t="shared" si="5"/>
        <v>22777.717436889347</v>
      </c>
      <c r="J20" s="6" t="str">
        <f>IF(B20&lt;&gt;"",IF(AND(Input!$H$73="Annual",MOD(B20,12)=0),Input!$J$73,IF(AND(Input!$H$73="1st Installment",B20=1),Input!$J$73,IF(Input!$H$73="Monthly",Input!$J$73,""))),"")</f>
        <v/>
      </c>
      <c r="K20" s="6" t="str">
        <f>IF(B20&lt;&gt;"",IF(AND(Input!$H$74="Annual",MOD(B20,12)=0),Input!$J$74,IF(AND(Input!$H$74="1st Installment",B20=1),Input!$J$74,IF(Input!$H$74="Monthly",Input!$J$74,""))),"")</f>
        <v/>
      </c>
      <c r="L20" s="6" t="str">
        <f>IF(B20&lt;&gt;"",IF(AND(Input!$H$75="Annual",MOD(B20,12)=0),Input!$J$75,IF(AND(Input!$H$75="1st Installment",B20=1),Input!$J$75,IF(Input!$H$75="Monthly",Input!$J$75,IF(AND(Input!$H$75="End of the loan",B20=12),Input!$J$75,"")))),"")</f>
        <v/>
      </c>
      <c r="M20" s="6">
        <f t="shared" si="0"/>
        <v>0</v>
      </c>
      <c r="N20" s="4">
        <f t="shared" si="1"/>
        <v>2637.4766169002883</v>
      </c>
      <c r="R20" s="9">
        <f t="shared" ref="R20:R29" si="9">EDATE(R19,1)</f>
        <v>44647</v>
      </c>
      <c r="S20" s="5">
        <f t="shared" si="6"/>
        <v>2637.48</v>
      </c>
      <c r="T20" s="137"/>
      <c r="U20" s="65"/>
    </row>
    <row r="21" spans="2:21">
      <c r="B21" s="16">
        <f t="shared" si="7"/>
        <v>4</v>
      </c>
      <c r="C21" s="9">
        <f t="shared" si="8"/>
        <v>44678</v>
      </c>
      <c r="D21" s="6">
        <f>IFERROR(IF(B21&lt;&gt;"",PPMT(Input!$E$75/12,B21,$C$6,Input!$E$74),"")," ")</f>
        <v>-2447.6623049262103</v>
      </c>
      <c r="E21" s="6">
        <f>IFERROR(IPMT(Input!$E$75/12,B21,$C$6,Input!$E$74)," ")</f>
        <v>-189.8143119740779</v>
      </c>
      <c r="F21" s="6">
        <f t="shared" si="2"/>
        <v>-9669.9448680368678</v>
      </c>
      <c r="G21" s="6">
        <f t="shared" si="3"/>
        <v>-879.96159956428608</v>
      </c>
      <c r="H21" s="6">
        <f t="shared" si="4"/>
        <v>-2637.4766169002883</v>
      </c>
      <c r="I21" s="6">
        <f t="shared" si="5"/>
        <v>20330.055131963138</v>
      </c>
      <c r="J21" s="6" t="str">
        <f>IF(B21&lt;&gt;"",IF(AND(Input!$H$73="Annual",MOD(B21,12)=0),Input!$J$73,IF(AND(Input!$H$73="1st Installment",B21=1),Input!$J$73,IF(Input!$H$73="Monthly",Input!$J$73,""))),"")</f>
        <v/>
      </c>
      <c r="K21" s="6" t="str">
        <f>IF(B21&lt;&gt;"",IF(AND(Input!$H$74="Annual",MOD(B21,12)=0),Input!$J$74,IF(AND(Input!$H$74="1st Installment",B21=1),Input!$J$74,IF(Input!$H$74="Monthly",Input!$J$74,""))),"")</f>
        <v/>
      </c>
      <c r="L21" s="6" t="str">
        <f>IF(B21&lt;&gt;"",IF(AND(Input!$H$75="Annual",MOD(B21,12)=0),Input!$J$75,IF(AND(Input!$H$75="1st Installment",B21=1),Input!$J$75,IF(Input!$H$75="Monthly",Input!$J$75,IF(AND(Input!$H$75="End of the loan",B21=12),Input!$J$75,"")))),"")</f>
        <v/>
      </c>
      <c r="M21" s="6">
        <f t="shared" si="0"/>
        <v>0</v>
      </c>
      <c r="N21" s="4">
        <f t="shared" si="1"/>
        <v>2637.4766169002883</v>
      </c>
      <c r="R21" s="9">
        <f t="shared" si="9"/>
        <v>44678</v>
      </c>
      <c r="S21" s="5">
        <f t="shared" si="6"/>
        <v>2637.48</v>
      </c>
      <c r="T21" s="137"/>
      <c r="U21" s="65"/>
    </row>
    <row r="22" spans="2:21">
      <c r="B22" s="16">
        <f t="shared" si="7"/>
        <v>5</v>
      </c>
      <c r="C22" s="9">
        <f t="shared" si="8"/>
        <v>44708</v>
      </c>
      <c r="D22" s="6">
        <f>IFERROR(IF(B22&lt;&gt;"",PPMT(Input!$E$75/12,B22,$C$6,Input!$E$74),"")," ")</f>
        <v>-2468.0594908005951</v>
      </c>
      <c r="E22" s="6">
        <f>IFERROR(IPMT(Input!$E$75/12,B22,$C$6,Input!$E$74)," ")</f>
        <v>-169.41712609969278</v>
      </c>
      <c r="F22" s="6">
        <f t="shared" si="2"/>
        <v>-12138.004358837463</v>
      </c>
      <c r="G22" s="6">
        <f t="shared" si="3"/>
        <v>-1049.3787256639789</v>
      </c>
      <c r="H22" s="6">
        <f t="shared" si="4"/>
        <v>-2637.4766169002878</v>
      </c>
      <c r="I22" s="6">
        <f t="shared" si="5"/>
        <v>17861.995641162543</v>
      </c>
      <c r="J22" s="6" t="str">
        <f>IF(B22&lt;&gt;"",IF(AND(Input!$H$73="Annual",MOD(B22,12)=0),Input!$J$73,IF(AND(Input!$H$73="1st Installment",B22=1),Input!$J$73,IF(Input!$H$73="Monthly",Input!$J$73,""))),"")</f>
        <v/>
      </c>
      <c r="K22" s="6" t="str">
        <f>IF(B22&lt;&gt;"",IF(AND(Input!$H$74="Annual",MOD(B22,12)=0),Input!$J$74,IF(AND(Input!$H$74="1st Installment",B22=1),Input!$J$74,IF(Input!$H$74="Monthly",Input!$J$74,""))),"")</f>
        <v/>
      </c>
      <c r="L22" s="6" t="str">
        <f>IF(B22&lt;&gt;"",IF(AND(Input!$H$75="Annual",MOD(B22,12)=0),Input!$J$75,IF(AND(Input!$H$75="1st Installment",B22=1),Input!$J$75,IF(Input!$H$75="Monthly",Input!$J$75,IF(AND(Input!$H$75="End of the loan",B22=12),Input!$J$75,"")))),"")</f>
        <v/>
      </c>
      <c r="M22" s="6">
        <f t="shared" si="0"/>
        <v>0</v>
      </c>
      <c r="N22" s="4">
        <f t="shared" si="1"/>
        <v>2637.4766169002878</v>
      </c>
      <c r="R22" s="9">
        <f t="shared" si="9"/>
        <v>44708</v>
      </c>
      <c r="S22" s="5">
        <f t="shared" si="6"/>
        <v>2637.48</v>
      </c>
      <c r="T22" s="137"/>
      <c r="U22" s="65"/>
    </row>
    <row r="23" spans="2:21">
      <c r="B23" s="16">
        <f t="shared" si="7"/>
        <v>6</v>
      </c>
      <c r="C23" s="9">
        <f t="shared" si="8"/>
        <v>44739</v>
      </c>
      <c r="D23" s="6">
        <f>IFERROR(IF(B23&lt;&gt;"",PPMT(Input!$E$75/12,B23,$C$6,Input!$E$74),"")," ")</f>
        <v>-2488.6266532239333</v>
      </c>
      <c r="E23" s="6">
        <f>IFERROR(IPMT(Input!$E$75/12,B23,$C$6,Input!$E$74)," ")</f>
        <v>-148.84996367635452</v>
      </c>
      <c r="F23" s="6">
        <f t="shared" si="2"/>
        <v>-14626.631012061396</v>
      </c>
      <c r="G23" s="6">
        <f t="shared" si="3"/>
        <v>-1198.2286893403334</v>
      </c>
      <c r="H23" s="6">
        <f t="shared" si="4"/>
        <v>-2637.4766169002878</v>
      </c>
      <c r="I23" s="6">
        <f t="shared" si="5"/>
        <v>15373.368987938609</v>
      </c>
      <c r="J23" s="6" t="str">
        <f>IF(B23&lt;&gt;"",IF(AND(Input!$H$73="Annual",MOD(B23,12)=0),Input!$J$73,IF(AND(Input!$H$73="1st Installment",B23=1),Input!$J$73,IF(Input!$H$73="Monthly",Input!$J$73,""))),"")</f>
        <v/>
      </c>
      <c r="K23" s="6" t="str">
        <f>IF(B23&lt;&gt;"",IF(AND(Input!$H$74="Annual",MOD(B23,12)=0),Input!$J$74,IF(AND(Input!$H$74="1st Installment",B23=1),Input!$J$74,IF(Input!$H$74="Monthly",Input!$J$74,""))),"")</f>
        <v/>
      </c>
      <c r="L23" s="6" t="str">
        <f>IF(B23&lt;&gt;"",IF(AND(Input!$H$75="Annual",MOD(B23,12)=0),Input!$J$75,IF(AND(Input!$H$75="1st Installment",B23=1),Input!$J$75,IF(Input!$H$75="Monthly",Input!$J$75,IF(AND(Input!$H$75="End of the loan",B23=12),Input!$J$75,"")))),"")</f>
        <v/>
      </c>
      <c r="M23" s="6">
        <f t="shared" si="0"/>
        <v>0</v>
      </c>
      <c r="N23" s="4">
        <f t="shared" si="1"/>
        <v>2637.4766169002878</v>
      </c>
      <c r="R23" s="9">
        <f t="shared" si="9"/>
        <v>44739</v>
      </c>
      <c r="S23" s="5">
        <f t="shared" si="6"/>
        <v>2637.48</v>
      </c>
      <c r="T23" s="137"/>
      <c r="U23" s="65"/>
    </row>
    <row r="24" spans="2:21">
      <c r="B24" s="16">
        <f t="shared" si="7"/>
        <v>7</v>
      </c>
      <c r="C24" s="9">
        <f t="shared" si="8"/>
        <v>44769</v>
      </c>
      <c r="D24" s="6">
        <f>IFERROR(IF(B24&lt;&gt;"",PPMT(Input!$E$75/12,B24,$C$6,Input!$E$74),"")," ")</f>
        <v>-2509.365208667466</v>
      </c>
      <c r="E24" s="6">
        <f>IFERROR(IPMT(Input!$E$75/12,B24,$C$6,Input!$E$74)," ")</f>
        <v>-128.11140823282173</v>
      </c>
      <c r="F24" s="6">
        <f t="shared" si="2"/>
        <v>-17135.996220728863</v>
      </c>
      <c r="G24" s="6">
        <f t="shared" si="3"/>
        <v>-1326.3400975731552</v>
      </c>
      <c r="H24" s="6">
        <f t="shared" si="4"/>
        <v>-2637.4766169002878</v>
      </c>
      <c r="I24" s="6">
        <f t="shared" si="5"/>
        <v>12864.003779271143</v>
      </c>
      <c r="J24" s="6" t="str">
        <f>IF(B24&lt;&gt;"",IF(AND(Input!$H$73="Annual",MOD(B24,12)=0),Input!$J$73,IF(AND(Input!$H$73="1st Installment",B24=1),Input!$J$73,IF(Input!$H$73="Monthly",Input!$J$73,""))),"")</f>
        <v/>
      </c>
      <c r="K24" s="6" t="str">
        <f>IF(B24&lt;&gt;"",IF(AND(Input!$H$74="Annual",MOD(B24,12)=0),Input!$J$74,IF(AND(Input!$H$74="1st Installment",B24=1),Input!$J$74,IF(Input!$H$74="Monthly",Input!$J$74,""))),"")</f>
        <v/>
      </c>
      <c r="L24" s="6" t="str">
        <f>IF(B24&lt;&gt;"",IF(AND(Input!$H$75="Annual",MOD(B24,12)=0),Input!$J$75,IF(AND(Input!$H$75="1st Installment",B24=1),Input!$J$75,IF(Input!$H$75="Monthly",Input!$J$75,IF(AND(Input!$H$75="End of the loan",B24=12),Input!$J$75,"")))),"")</f>
        <v/>
      </c>
      <c r="M24" s="6">
        <f t="shared" si="0"/>
        <v>0</v>
      </c>
      <c r="N24" s="4">
        <f t="shared" si="1"/>
        <v>2637.4766169002878</v>
      </c>
      <c r="R24" s="9">
        <f t="shared" si="9"/>
        <v>44769</v>
      </c>
      <c r="S24" s="5">
        <f t="shared" si="6"/>
        <v>2637.48</v>
      </c>
      <c r="T24" s="137"/>
      <c r="U24" s="65"/>
    </row>
    <row r="25" spans="2:21">
      <c r="B25" s="16">
        <f t="shared" si="7"/>
        <v>8</v>
      </c>
      <c r="C25" s="9">
        <f t="shared" si="8"/>
        <v>44800</v>
      </c>
      <c r="D25" s="6">
        <f>IFERROR(IF(B25&lt;&gt;"",PPMT(Input!$E$75/12,B25,$C$6,Input!$E$74),"")," ")</f>
        <v>-2530.2765854063618</v>
      </c>
      <c r="E25" s="6">
        <f>IFERROR(IPMT(Input!$E$75/12,B25,$C$6,Input!$E$74)," ")</f>
        <v>-107.20003149392619</v>
      </c>
      <c r="F25" s="6">
        <f t="shared" si="2"/>
        <v>-19666.272806135225</v>
      </c>
      <c r="G25" s="6">
        <f t="shared" si="3"/>
        <v>-1433.5401290670814</v>
      </c>
      <c r="H25" s="6">
        <f t="shared" si="4"/>
        <v>-2637.4766169002878</v>
      </c>
      <c r="I25" s="6">
        <f t="shared" si="5"/>
        <v>10333.727193864781</v>
      </c>
      <c r="J25" s="6" t="str">
        <f>IF(B25&lt;&gt;"",IF(AND(Input!$H$73="Annual",MOD(B25,12)=0),Input!$J$73,IF(AND(Input!$H$73="1st Installment",B25=1),Input!$J$73,IF(Input!$H$73="Monthly",Input!$J$73,""))),"")</f>
        <v/>
      </c>
      <c r="K25" s="6" t="str">
        <f>IF(B25&lt;&gt;"",IF(AND(Input!$H$74="Annual",MOD(B25,12)=0),Input!$J$74,IF(AND(Input!$H$74="1st Installment",B25=1),Input!$J$74,IF(Input!$H$74="Monthly",Input!$J$74,""))),"")</f>
        <v/>
      </c>
      <c r="L25" s="6" t="str">
        <f>IF(B25&lt;&gt;"",IF(AND(Input!$H$75="Annual",MOD(B25,12)=0),Input!$J$75,IF(AND(Input!$H$75="1st Installment",B25=1),Input!$J$75,IF(Input!$H$75="Monthly",Input!$J$75,IF(AND(Input!$H$75="End of the loan",B25=12),Input!$J$75,"")))),"")</f>
        <v/>
      </c>
      <c r="M25" s="6">
        <f t="shared" si="0"/>
        <v>0</v>
      </c>
      <c r="N25" s="4">
        <f t="shared" si="1"/>
        <v>2637.4766169002878</v>
      </c>
      <c r="R25" s="9">
        <f t="shared" si="9"/>
        <v>44800</v>
      </c>
      <c r="S25" s="5">
        <f t="shared" si="6"/>
        <v>2637.48</v>
      </c>
      <c r="T25" s="137"/>
      <c r="U25" s="65"/>
    </row>
    <row r="26" spans="2:21">
      <c r="B26" s="16">
        <f t="shared" si="7"/>
        <v>9</v>
      </c>
      <c r="C26" s="9">
        <f t="shared" si="8"/>
        <v>44831</v>
      </c>
      <c r="D26" s="6">
        <f>IFERROR(IF(B26&lt;&gt;"",PPMT(Input!$E$75/12,B26,$C$6,Input!$E$74),"")," ")</f>
        <v>-2551.3622236180813</v>
      </c>
      <c r="E26" s="6">
        <f>IFERROR(IPMT(Input!$E$75/12,B26,$C$6,Input!$E$74)," ")</f>
        <v>-86.114393282206507</v>
      </c>
      <c r="F26" s="6">
        <f t="shared" si="2"/>
        <v>-22217.635029753306</v>
      </c>
      <c r="G26" s="6">
        <f t="shared" si="3"/>
        <v>-1519.6545223492878</v>
      </c>
      <c r="H26" s="6">
        <f t="shared" si="4"/>
        <v>-2637.4766169002878</v>
      </c>
      <c r="I26" s="6">
        <f t="shared" si="5"/>
        <v>7782.3649702466992</v>
      </c>
      <c r="J26" s="6" t="str">
        <f>IF(B26&lt;&gt;"",IF(AND(Input!$H$73="Annual",MOD(B26,12)=0),Input!$J$73,IF(AND(Input!$H$73="1st Installment",B26=1),Input!$J$73,IF(Input!$H$73="Monthly",Input!$J$73,""))),"")</f>
        <v/>
      </c>
      <c r="K26" s="6" t="str">
        <f>IF(B26&lt;&gt;"",IF(AND(Input!$H$74="Annual",MOD(B26,12)=0),Input!$J$74,IF(AND(Input!$H$74="1st Installment",B26=1),Input!$J$74,IF(Input!$H$74="Monthly",Input!$J$74,""))),"")</f>
        <v/>
      </c>
      <c r="L26" s="6" t="str">
        <f>IF(B26&lt;&gt;"",IF(AND(Input!$H$75="Annual",MOD(B26,12)=0),Input!$J$75,IF(AND(Input!$H$75="1st Installment",B26=1),Input!$J$75,IF(Input!$H$75="Monthly",Input!$J$75,IF(AND(Input!$H$75="End of the loan",B26=12),Input!$J$75,"")))),"")</f>
        <v/>
      </c>
      <c r="M26" s="6">
        <f t="shared" si="0"/>
        <v>0</v>
      </c>
      <c r="N26" s="4">
        <f t="shared" si="1"/>
        <v>2637.4766169002878</v>
      </c>
      <c r="R26" s="9">
        <f t="shared" si="9"/>
        <v>44831</v>
      </c>
      <c r="S26" s="5">
        <f t="shared" si="6"/>
        <v>2637.48</v>
      </c>
      <c r="T26" s="137"/>
      <c r="U26" s="65"/>
    </row>
    <row r="27" spans="2:21">
      <c r="B27" s="16">
        <f t="shared" si="7"/>
        <v>10</v>
      </c>
      <c r="C27" s="9">
        <f t="shared" si="8"/>
        <v>44861</v>
      </c>
      <c r="D27" s="6">
        <f>IFERROR(IF(B27&lt;&gt;"",PPMT(Input!$E$75/12,B27,$C$6,Input!$E$74),"")," ")</f>
        <v>-2572.6235754815657</v>
      </c>
      <c r="E27" s="6">
        <f>IFERROR(IPMT(Input!$E$75/12,B27,$C$6,Input!$E$74)," ")</f>
        <v>-64.853041418722498</v>
      </c>
      <c r="F27" s="6">
        <f t="shared" si="2"/>
        <v>-24790.258605234871</v>
      </c>
      <c r="G27" s="6">
        <f t="shared" si="3"/>
        <v>-1584.5075637680104</v>
      </c>
      <c r="H27" s="6">
        <f t="shared" si="4"/>
        <v>-2637.4766169002883</v>
      </c>
      <c r="I27" s="6">
        <f t="shared" si="5"/>
        <v>5209.741394765133</v>
      </c>
      <c r="J27" s="6" t="str">
        <f>IF(B27&lt;&gt;"",IF(AND(Input!$H$73="Annual",MOD(B27,12)=0),Input!$J$73,IF(AND(Input!$H$73="1st Installment",B27=1),Input!$J$73,IF(Input!$H$73="Monthly",Input!$J$73,""))),"")</f>
        <v/>
      </c>
      <c r="K27" s="6" t="str">
        <f>IF(B27&lt;&gt;"",IF(AND(Input!$H$74="Annual",MOD(B27,12)=0),Input!$J$74,IF(AND(Input!$H$74="1st Installment",B27=1),Input!$J$74,IF(Input!$H$74="Monthly",Input!$J$74,""))),"")</f>
        <v/>
      </c>
      <c r="L27" s="6" t="str">
        <f>IF(B27&lt;&gt;"",IF(AND(Input!$H$75="Annual",MOD(B27,12)=0),Input!$J$75,IF(AND(Input!$H$75="1st Installment",B27=1),Input!$J$75,IF(Input!$H$75="Monthly",Input!$J$75,IF(AND(Input!$H$75="End of the loan",B27=12),Input!$J$75,"")))),"")</f>
        <v/>
      </c>
      <c r="M27" s="6">
        <f t="shared" si="0"/>
        <v>0</v>
      </c>
      <c r="N27" s="4">
        <f t="shared" si="1"/>
        <v>2637.4766169002883</v>
      </c>
      <c r="R27" s="9">
        <f t="shared" si="9"/>
        <v>44861</v>
      </c>
      <c r="S27" s="5">
        <f t="shared" si="6"/>
        <v>2637.48</v>
      </c>
      <c r="T27" s="137"/>
      <c r="U27" s="65"/>
    </row>
    <row r="28" spans="2:21">
      <c r="B28" s="16">
        <f t="shared" si="7"/>
        <v>11</v>
      </c>
      <c r="C28" s="9">
        <f t="shared" si="8"/>
        <v>44892</v>
      </c>
      <c r="D28" s="6">
        <f>IFERROR(IF(B28&lt;&gt;"",PPMT(Input!$E$75/12,B28,$C$6,Input!$E$74),"")," ")</f>
        <v>-2594.0621052772453</v>
      </c>
      <c r="E28" s="6">
        <f>IFERROR(IPMT(Input!$E$75/12,B28,$C$6,Input!$E$74)," ")</f>
        <v>-43.414511623042785</v>
      </c>
      <c r="F28" s="6">
        <f t="shared" si="2"/>
        <v>-27384.320710512115</v>
      </c>
      <c r="G28" s="6">
        <f t="shared" si="3"/>
        <v>-1627.9220753910531</v>
      </c>
      <c r="H28" s="6">
        <f t="shared" si="4"/>
        <v>-2637.4766169002883</v>
      </c>
      <c r="I28" s="6">
        <f t="shared" si="5"/>
        <v>2615.6792894878877</v>
      </c>
      <c r="J28" s="6" t="str">
        <f>IF(B28&lt;&gt;"",IF(AND(Input!$H$73="Annual",MOD(B28,12)=0),Input!$J$73,IF(AND(Input!$H$73="1st Installment",B28=1),Input!$J$73,IF(Input!$H$73="Monthly",Input!$J$73,""))),"")</f>
        <v/>
      </c>
      <c r="K28" s="6" t="str">
        <f>IF(B28&lt;&gt;"",IF(AND(Input!$H$74="Annual",MOD(B28,12)=0),Input!$J$74,IF(AND(Input!$H$74="1st Installment",B28=1),Input!$J$74,IF(Input!$H$74="Monthly",Input!$J$74,""))),"")</f>
        <v/>
      </c>
      <c r="L28" s="6" t="str">
        <f>IF(B28&lt;&gt;"",IF(AND(Input!$H$75="Annual",MOD(B28,12)=0),Input!$J$75,IF(AND(Input!$H$75="1st Installment",B28=1),Input!$J$75,IF(Input!$H$75="Monthly",Input!$J$75,IF(AND(Input!$H$75="End of the loan",B28=12),Input!$J$75,"")))),"")</f>
        <v/>
      </c>
      <c r="M28" s="6">
        <f t="shared" si="0"/>
        <v>0</v>
      </c>
      <c r="N28" s="4">
        <f t="shared" si="1"/>
        <v>2637.4766169002883</v>
      </c>
      <c r="R28" s="9">
        <f t="shared" si="9"/>
        <v>44892</v>
      </c>
      <c r="S28" s="5">
        <f t="shared" si="6"/>
        <v>2637.48</v>
      </c>
      <c r="T28" s="137"/>
      <c r="U28" s="65"/>
    </row>
    <row r="29" spans="2:21">
      <c r="B29" s="16">
        <f t="shared" si="7"/>
        <v>12</v>
      </c>
      <c r="C29" s="9">
        <f t="shared" si="8"/>
        <v>44922</v>
      </c>
      <c r="D29" s="6">
        <f>IFERROR(IF(B29&lt;&gt;"",PPMT(Input!$E$75/12,B29,$C$6,Input!$E$74),"")," ")</f>
        <v>-2615.679289487889</v>
      </c>
      <c r="E29" s="6">
        <f>IFERROR(IPMT(Input!$E$75/12,B29,$C$6,Input!$E$74)," ")</f>
        <v>-21.797327412399074</v>
      </c>
      <c r="F29" s="6">
        <f t="shared" si="2"/>
        <v>-30000.000000000004</v>
      </c>
      <c r="G29" s="6">
        <f t="shared" si="3"/>
        <v>-1649.7194028034521</v>
      </c>
      <c r="H29" s="6">
        <f t="shared" si="4"/>
        <v>-2637.4766169002883</v>
      </c>
      <c r="I29" s="6">
        <f t="shared" si="5"/>
        <v>-1.3642420526593924E-12</v>
      </c>
      <c r="J29" s="6" t="str">
        <f>IF(B29&lt;&gt;"",IF(AND(Input!$H$73="Annual",MOD(B29,12)=0),Input!$J$73,IF(AND(Input!$H$73="1st Installment",B29=1),Input!$J$73,IF(Input!$H$73="Monthly",Input!$J$73,""))),"")</f>
        <v/>
      </c>
      <c r="K29" s="6" t="str">
        <f>IF(B29&lt;&gt;"",IF(AND(Input!$H$74="Annual",MOD(B29,12)=0),Input!$J$74,IF(AND(Input!$H$74="1st Installment",B29=1),Input!$J$74,IF(Input!$H$74="Monthly",Input!$J$74,""))),"")</f>
        <v/>
      </c>
      <c r="L29" s="6" t="str">
        <f>IF(B29&lt;&gt;"",IF(AND(Input!$H$75="Annual",MOD(B29,12)=0),Input!$J$75,IF(AND(Input!$H$75="1st Installment",B29=1),Input!$J$75,IF(Input!$H$75="Monthly",Input!$J$75,IF(AND(Input!$H$75="End of the loan",B29=12),Input!$J$75,"")))),"")</f>
        <v/>
      </c>
      <c r="M29" s="6">
        <f t="shared" si="0"/>
        <v>0</v>
      </c>
      <c r="N29" s="4">
        <f t="shared" si="1"/>
        <v>2637.4766169002883</v>
      </c>
      <c r="R29" s="9">
        <f t="shared" si="9"/>
        <v>44922</v>
      </c>
      <c r="S29" s="5">
        <f t="shared" si="6"/>
        <v>2637.48</v>
      </c>
      <c r="T29" s="137"/>
      <c r="U29" s="65"/>
    </row>
  </sheetData>
  <sheetProtection algorithmName="SHA-512" hashValue="LFJUZsfdSpWBUzumAyLraQWZ3R3+/cm1ZBiTivV0BWTIPWQTd1YhVhcL/78bQKSTkrELa2nP+wFT3frxCYRwRw==" saltValue="yjB9yji3e8DIBVHDxnGfUw==" spinCount="100000" sheet="1" objects="1" scenarios="1"/>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3"/>
  <sheetViews>
    <sheetView showGridLines="0" topLeftCell="A5" workbookViewId="0">
      <selection activeCell="C9" sqref="C9"/>
    </sheetView>
  </sheetViews>
  <sheetFormatPr defaultRowHeight="14.5"/>
  <cols>
    <col min="2" max="2" width="38.08984375" bestFit="1" customWidth="1"/>
    <col min="3" max="3" width="12.54296875" bestFit="1" customWidth="1"/>
    <col min="7" max="7" width="12" bestFit="1" customWidth="1"/>
    <col min="11" max="12" width="8.90625" hidden="1" customWidth="1"/>
  </cols>
  <sheetData>
    <row r="1" spans="1:12" ht="19.25" customHeight="1">
      <c r="B1" s="174" t="s">
        <v>80</v>
      </c>
      <c r="C1" s="174"/>
      <c r="D1" s="174"/>
      <c r="E1" s="174"/>
      <c r="F1" s="174"/>
      <c r="K1" s="1">
        <f>ROW(B13)</f>
        <v>13</v>
      </c>
      <c r="L1" s="1">
        <f>K1</f>
        <v>13</v>
      </c>
    </row>
    <row r="2" spans="1:12">
      <c r="B2" s="62" t="s">
        <v>44</v>
      </c>
      <c r="C2" s="1"/>
      <c r="D2" s="1"/>
      <c r="E2" s="30"/>
      <c r="F2" s="1"/>
      <c r="K2" s="1">
        <f>COLUMN(B13)</f>
        <v>2</v>
      </c>
      <c r="L2" s="1">
        <f>COLUMN(C13)</f>
        <v>3</v>
      </c>
    </row>
    <row r="3" spans="1:12">
      <c r="B3" s="52"/>
      <c r="C3" s="159" t="s">
        <v>45</v>
      </c>
      <c r="D3" s="159"/>
      <c r="E3" s="159"/>
      <c r="F3" s="159"/>
      <c r="K3" s="1"/>
      <c r="L3" s="50">
        <f>COUNTIF(B13:B373,"&gt;0")-1</f>
        <v>0</v>
      </c>
    </row>
    <row r="4" spans="1:12">
      <c r="B4" s="84"/>
      <c r="C4" s="159" t="s">
        <v>52</v>
      </c>
      <c r="D4" s="159"/>
      <c r="E4" s="159"/>
      <c r="F4" s="159"/>
      <c r="K4" s="1"/>
      <c r="L4" s="1"/>
    </row>
    <row r="5" spans="1:12">
      <c r="B5" s="85"/>
      <c r="C5" s="159" t="s">
        <v>49</v>
      </c>
      <c r="D5" s="159"/>
      <c r="E5" s="159"/>
      <c r="F5" s="159"/>
      <c r="K5" s="1"/>
      <c r="L5" s="1"/>
    </row>
    <row r="6" spans="1:12">
      <c r="K6" s="1"/>
      <c r="L6" s="1"/>
    </row>
    <row r="8" spans="1:12">
      <c r="B8" s="52" t="s">
        <v>131</v>
      </c>
      <c r="C8" s="152">
        <v>2000000</v>
      </c>
      <c r="F8" s="52" t="s">
        <v>7</v>
      </c>
      <c r="G8" s="92" t="str">
        <f ca="1">IFERROR(XIRR(C13:INDIRECT(ADDRESS($L$1+$L$3,$L$2)),B13:INDIRECT(ADDRESS($K$1+$L$3,$K$2))),"-")</f>
        <v>-</v>
      </c>
    </row>
    <row r="9" spans="1:12">
      <c r="B9" s="52" t="s">
        <v>66</v>
      </c>
      <c r="C9" s="153">
        <v>200</v>
      </c>
    </row>
    <row r="10" spans="1:12">
      <c r="B10" s="52" t="s">
        <v>36</v>
      </c>
      <c r="C10" s="154">
        <v>44562</v>
      </c>
      <c r="G10" s="93"/>
    </row>
    <row r="12" spans="1:12">
      <c r="B12" s="52" t="s">
        <v>59</v>
      </c>
      <c r="C12" s="52" t="s">
        <v>41</v>
      </c>
    </row>
    <row r="13" spans="1:12" ht="15" thickBot="1">
      <c r="B13" s="86">
        <f>C10</f>
        <v>44562</v>
      </c>
      <c r="C13" s="85">
        <f>-(C8-C9)</f>
        <v>-1999800</v>
      </c>
    </row>
    <row r="14" spans="1:12">
      <c r="A14">
        <v>1</v>
      </c>
      <c r="B14" s="155"/>
      <c r="C14" s="152"/>
      <c r="E14" s="175" t="s">
        <v>77</v>
      </c>
      <c r="F14" s="176"/>
      <c r="G14" s="176"/>
      <c r="H14" s="177"/>
    </row>
    <row r="15" spans="1:12">
      <c r="A15">
        <v>2</v>
      </c>
      <c r="B15" s="155"/>
      <c r="C15" s="152"/>
      <c r="E15" s="178"/>
      <c r="F15" s="179"/>
      <c r="G15" s="179"/>
      <c r="H15" s="180"/>
    </row>
    <row r="16" spans="1:12">
      <c r="A16">
        <v>3</v>
      </c>
      <c r="B16" s="155"/>
      <c r="C16" s="152"/>
      <c r="E16" s="178"/>
      <c r="F16" s="179"/>
      <c r="G16" s="179"/>
      <c r="H16" s="180"/>
    </row>
    <row r="17" spans="1:8">
      <c r="A17">
        <v>4</v>
      </c>
      <c r="B17" s="155"/>
      <c r="C17" s="152"/>
      <c r="E17" s="178"/>
      <c r="F17" s="179"/>
      <c r="G17" s="179"/>
      <c r="H17" s="180"/>
    </row>
    <row r="18" spans="1:8" ht="15" thickBot="1">
      <c r="A18">
        <v>5</v>
      </c>
      <c r="B18" s="155"/>
      <c r="C18" s="152"/>
      <c r="E18" s="181"/>
      <c r="F18" s="182"/>
      <c r="G18" s="182"/>
      <c r="H18" s="183"/>
    </row>
    <row r="19" spans="1:8">
      <c r="A19">
        <v>6</v>
      </c>
      <c r="B19" s="155"/>
      <c r="C19" s="152"/>
    </row>
    <row r="20" spans="1:8">
      <c r="A20">
        <v>7</v>
      </c>
      <c r="B20" s="155"/>
      <c r="C20" s="152"/>
    </row>
    <row r="21" spans="1:8">
      <c r="A21">
        <v>8</v>
      </c>
      <c r="B21" s="155"/>
      <c r="C21" s="152"/>
    </row>
    <row r="22" spans="1:8">
      <c r="A22">
        <v>9</v>
      </c>
      <c r="B22" s="155"/>
      <c r="C22" s="152"/>
    </row>
    <row r="23" spans="1:8">
      <c r="A23">
        <v>10</v>
      </c>
      <c r="B23" s="155"/>
      <c r="C23" s="152"/>
    </row>
    <row r="24" spans="1:8">
      <c r="A24">
        <v>11</v>
      </c>
      <c r="B24" s="155"/>
      <c r="C24" s="152"/>
    </row>
    <row r="25" spans="1:8">
      <c r="A25">
        <v>12</v>
      </c>
      <c r="B25" s="155"/>
      <c r="C25" s="152"/>
    </row>
    <row r="26" spans="1:8">
      <c r="A26">
        <v>13</v>
      </c>
      <c r="B26" s="155"/>
      <c r="C26" s="152"/>
    </row>
    <row r="27" spans="1:8">
      <c r="A27">
        <v>14</v>
      </c>
      <c r="B27" s="155"/>
      <c r="C27" s="152"/>
    </row>
    <row r="28" spans="1:8">
      <c r="A28">
        <v>15</v>
      </c>
      <c r="B28" s="155"/>
      <c r="C28" s="152"/>
    </row>
    <row r="29" spans="1:8">
      <c r="A29">
        <v>16</v>
      </c>
      <c r="B29" s="155"/>
      <c r="C29" s="152"/>
    </row>
    <row r="30" spans="1:8">
      <c r="A30">
        <v>17</v>
      </c>
      <c r="B30" s="155"/>
      <c r="C30" s="152"/>
    </row>
    <row r="31" spans="1:8">
      <c r="A31">
        <v>18</v>
      </c>
      <c r="B31" s="155"/>
      <c r="C31" s="152"/>
    </row>
    <row r="32" spans="1:8">
      <c r="A32">
        <v>19</v>
      </c>
      <c r="B32" s="155"/>
      <c r="C32" s="152"/>
    </row>
    <row r="33" spans="1:3">
      <c r="A33">
        <v>20</v>
      </c>
      <c r="B33" s="155"/>
      <c r="C33" s="152"/>
    </row>
    <row r="34" spans="1:3">
      <c r="A34">
        <v>21</v>
      </c>
      <c r="B34" s="155"/>
      <c r="C34" s="152"/>
    </row>
    <row r="35" spans="1:3">
      <c r="A35">
        <v>22</v>
      </c>
      <c r="B35" s="155"/>
      <c r="C35" s="152"/>
    </row>
    <row r="36" spans="1:3">
      <c r="A36">
        <v>23</v>
      </c>
      <c r="B36" s="155"/>
      <c r="C36" s="152"/>
    </row>
    <row r="37" spans="1:3">
      <c r="A37">
        <v>24</v>
      </c>
      <c r="B37" s="155"/>
      <c r="C37" s="152"/>
    </row>
    <row r="38" spans="1:3">
      <c r="A38">
        <v>25</v>
      </c>
      <c r="B38" s="155"/>
      <c r="C38" s="152"/>
    </row>
    <row r="39" spans="1:3">
      <c r="A39">
        <v>26</v>
      </c>
      <c r="B39" s="155"/>
      <c r="C39" s="152"/>
    </row>
    <row r="40" spans="1:3">
      <c r="A40">
        <v>27</v>
      </c>
      <c r="B40" s="155"/>
      <c r="C40" s="152"/>
    </row>
    <row r="41" spans="1:3">
      <c r="A41">
        <v>28</v>
      </c>
      <c r="B41" s="155"/>
      <c r="C41" s="152"/>
    </row>
    <row r="42" spans="1:3">
      <c r="A42">
        <v>29</v>
      </c>
      <c r="B42" s="155"/>
      <c r="C42" s="152"/>
    </row>
    <row r="43" spans="1:3">
      <c r="A43">
        <v>30</v>
      </c>
      <c r="B43" s="155"/>
      <c r="C43" s="152"/>
    </row>
    <row r="44" spans="1:3">
      <c r="A44">
        <v>31</v>
      </c>
      <c r="B44" s="155"/>
      <c r="C44" s="152"/>
    </row>
    <row r="45" spans="1:3">
      <c r="A45">
        <v>32</v>
      </c>
      <c r="B45" s="155"/>
      <c r="C45" s="152"/>
    </row>
    <row r="46" spans="1:3">
      <c r="A46">
        <v>33</v>
      </c>
      <c r="B46" s="155"/>
      <c r="C46" s="152"/>
    </row>
    <row r="47" spans="1:3">
      <c r="A47">
        <v>34</v>
      </c>
      <c r="B47" s="155"/>
      <c r="C47" s="152"/>
    </row>
    <row r="48" spans="1:3">
      <c r="A48">
        <v>35</v>
      </c>
      <c r="B48" s="155"/>
      <c r="C48" s="152"/>
    </row>
    <row r="49" spans="1:3">
      <c r="A49">
        <v>36</v>
      </c>
      <c r="B49" s="155"/>
      <c r="C49" s="152"/>
    </row>
    <row r="50" spans="1:3">
      <c r="A50">
        <v>37</v>
      </c>
      <c r="B50" s="155"/>
      <c r="C50" s="152"/>
    </row>
    <row r="51" spans="1:3">
      <c r="A51">
        <v>38</v>
      </c>
      <c r="B51" s="155"/>
      <c r="C51" s="152"/>
    </row>
    <row r="52" spans="1:3">
      <c r="A52">
        <v>39</v>
      </c>
      <c r="B52" s="155"/>
      <c r="C52" s="152"/>
    </row>
    <row r="53" spans="1:3">
      <c r="A53">
        <v>40</v>
      </c>
      <c r="B53" s="155"/>
      <c r="C53" s="152"/>
    </row>
    <row r="54" spans="1:3">
      <c r="A54">
        <v>41</v>
      </c>
      <c r="B54" s="155"/>
      <c r="C54" s="152"/>
    </row>
    <row r="55" spans="1:3">
      <c r="A55">
        <v>42</v>
      </c>
      <c r="B55" s="155"/>
      <c r="C55" s="152"/>
    </row>
    <row r="56" spans="1:3">
      <c r="A56">
        <v>43</v>
      </c>
      <c r="B56" s="155"/>
      <c r="C56" s="152"/>
    </row>
    <row r="57" spans="1:3">
      <c r="A57">
        <v>44</v>
      </c>
      <c r="B57" s="155"/>
      <c r="C57" s="152"/>
    </row>
    <row r="58" spans="1:3">
      <c r="A58">
        <v>45</v>
      </c>
      <c r="B58" s="155"/>
      <c r="C58" s="152"/>
    </row>
    <row r="59" spans="1:3">
      <c r="A59">
        <v>46</v>
      </c>
      <c r="B59" s="155"/>
      <c r="C59" s="152"/>
    </row>
    <row r="60" spans="1:3">
      <c r="A60">
        <v>47</v>
      </c>
      <c r="B60" s="155"/>
      <c r="C60" s="152"/>
    </row>
    <row r="61" spans="1:3">
      <c r="A61">
        <v>48</v>
      </c>
      <c r="B61" s="155"/>
      <c r="C61" s="152"/>
    </row>
    <row r="62" spans="1:3">
      <c r="A62">
        <v>49</v>
      </c>
      <c r="B62" s="155"/>
      <c r="C62" s="152"/>
    </row>
    <row r="63" spans="1:3">
      <c r="A63">
        <v>50</v>
      </c>
      <c r="B63" s="155"/>
      <c r="C63" s="152"/>
    </row>
    <row r="64" spans="1:3">
      <c r="A64">
        <v>51</v>
      </c>
      <c r="B64" s="155"/>
      <c r="C64" s="152"/>
    </row>
    <row r="65" spans="1:3">
      <c r="A65">
        <v>52</v>
      </c>
      <c r="B65" s="155"/>
      <c r="C65" s="152"/>
    </row>
    <row r="66" spans="1:3">
      <c r="A66">
        <v>53</v>
      </c>
      <c r="B66" s="155"/>
      <c r="C66" s="152"/>
    </row>
    <row r="67" spans="1:3">
      <c r="A67">
        <v>54</v>
      </c>
      <c r="B67" s="155"/>
      <c r="C67" s="152"/>
    </row>
    <row r="68" spans="1:3">
      <c r="A68">
        <v>55</v>
      </c>
      <c r="B68" s="155"/>
      <c r="C68" s="152"/>
    </row>
    <row r="69" spans="1:3">
      <c r="A69">
        <v>56</v>
      </c>
      <c r="B69" s="155"/>
      <c r="C69" s="152"/>
    </row>
    <row r="70" spans="1:3">
      <c r="A70">
        <v>57</v>
      </c>
      <c r="B70" s="155"/>
      <c r="C70" s="152"/>
    </row>
    <row r="71" spans="1:3">
      <c r="A71">
        <v>58</v>
      </c>
      <c r="B71" s="155"/>
      <c r="C71" s="152"/>
    </row>
    <row r="72" spans="1:3">
      <c r="A72">
        <v>59</v>
      </c>
      <c r="B72" s="155"/>
      <c r="C72" s="152"/>
    </row>
    <row r="73" spans="1:3">
      <c r="A73">
        <v>60</v>
      </c>
      <c r="B73" s="155"/>
      <c r="C73" s="152"/>
    </row>
    <row r="74" spans="1:3">
      <c r="A74">
        <v>61</v>
      </c>
      <c r="B74" s="155"/>
      <c r="C74" s="152"/>
    </row>
    <row r="75" spans="1:3">
      <c r="A75">
        <v>62</v>
      </c>
      <c r="B75" s="155"/>
      <c r="C75" s="152"/>
    </row>
    <row r="76" spans="1:3">
      <c r="A76">
        <v>63</v>
      </c>
      <c r="B76" s="155"/>
      <c r="C76" s="152"/>
    </row>
    <row r="77" spans="1:3">
      <c r="A77">
        <v>64</v>
      </c>
      <c r="B77" s="155"/>
      <c r="C77" s="152"/>
    </row>
    <row r="78" spans="1:3">
      <c r="A78">
        <v>65</v>
      </c>
      <c r="B78" s="155"/>
      <c r="C78" s="152"/>
    </row>
    <row r="79" spans="1:3">
      <c r="A79">
        <v>66</v>
      </c>
      <c r="B79" s="155"/>
      <c r="C79" s="152"/>
    </row>
    <row r="80" spans="1:3">
      <c r="A80">
        <v>67</v>
      </c>
      <c r="B80" s="155"/>
      <c r="C80" s="152"/>
    </row>
    <row r="81" spans="1:3">
      <c r="A81">
        <v>68</v>
      </c>
      <c r="B81" s="155"/>
      <c r="C81" s="152"/>
    </row>
    <row r="82" spans="1:3">
      <c r="A82">
        <v>69</v>
      </c>
      <c r="B82" s="155"/>
      <c r="C82" s="152"/>
    </row>
    <row r="83" spans="1:3">
      <c r="A83">
        <v>70</v>
      </c>
      <c r="B83" s="155"/>
      <c r="C83" s="152"/>
    </row>
    <row r="84" spans="1:3">
      <c r="A84">
        <v>71</v>
      </c>
      <c r="B84" s="155"/>
      <c r="C84" s="152"/>
    </row>
    <row r="85" spans="1:3">
      <c r="A85">
        <v>72</v>
      </c>
      <c r="B85" s="155"/>
      <c r="C85" s="152"/>
    </row>
    <row r="86" spans="1:3">
      <c r="A86">
        <v>73</v>
      </c>
      <c r="B86" s="155"/>
      <c r="C86" s="152"/>
    </row>
    <row r="87" spans="1:3">
      <c r="A87">
        <v>74</v>
      </c>
      <c r="B87" s="155"/>
      <c r="C87" s="152"/>
    </row>
    <row r="88" spans="1:3">
      <c r="A88">
        <v>75</v>
      </c>
      <c r="B88" s="155"/>
      <c r="C88" s="152"/>
    </row>
    <row r="89" spans="1:3">
      <c r="A89">
        <v>76</v>
      </c>
      <c r="B89" s="155"/>
      <c r="C89" s="152"/>
    </row>
    <row r="90" spans="1:3">
      <c r="A90">
        <v>77</v>
      </c>
      <c r="B90" s="155"/>
      <c r="C90" s="152"/>
    </row>
    <row r="91" spans="1:3">
      <c r="A91">
        <v>78</v>
      </c>
      <c r="B91" s="155"/>
      <c r="C91" s="152"/>
    </row>
    <row r="92" spans="1:3">
      <c r="A92">
        <v>79</v>
      </c>
      <c r="B92" s="155"/>
      <c r="C92" s="152"/>
    </row>
    <row r="93" spans="1:3">
      <c r="A93">
        <v>80</v>
      </c>
      <c r="B93" s="155"/>
      <c r="C93" s="152"/>
    </row>
    <row r="94" spans="1:3">
      <c r="A94">
        <v>81</v>
      </c>
      <c r="B94" s="155"/>
      <c r="C94" s="152"/>
    </row>
    <row r="95" spans="1:3">
      <c r="A95">
        <v>82</v>
      </c>
      <c r="B95" s="155"/>
      <c r="C95" s="152"/>
    </row>
    <row r="96" spans="1:3">
      <c r="A96">
        <v>83</v>
      </c>
      <c r="B96" s="155"/>
      <c r="C96" s="152"/>
    </row>
    <row r="97" spans="1:3">
      <c r="A97">
        <v>84</v>
      </c>
      <c r="B97" s="155"/>
      <c r="C97" s="152"/>
    </row>
    <row r="98" spans="1:3">
      <c r="A98">
        <v>85</v>
      </c>
      <c r="B98" s="155"/>
      <c r="C98" s="152"/>
    </row>
    <row r="99" spans="1:3">
      <c r="A99">
        <v>86</v>
      </c>
      <c r="B99" s="155"/>
      <c r="C99" s="152"/>
    </row>
    <row r="100" spans="1:3">
      <c r="A100">
        <v>87</v>
      </c>
      <c r="B100" s="155"/>
      <c r="C100" s="152"/>
    </row>
    <row r="101" spans="1:3">
      <c r="A101">
        <v>88</v>
      </c>
      <c r="B101" s="155"/>
      <c r="C101" s="152"/>
    </row>
    <row r="102" spans="1:3">
      <c r="A102">
        <v>89</v>
      </c>
      <c r="B102" s="155"/>
      <c r="C102" s="152"/>
    </row>
    <row r="103" spans="1:3">
      <c r="A103">
        <v>90</v>
      </c>
      <c r="B103" s="155"/>
      <c r="C103" s="152"/>
    </row>
    <row r="104" spans="1:3">
      <c r="A104">
        <v>91</v>
      </c>
      <c r="B104" s="155"/>
      <c r="C104" s="152"/>
    </row>
    <row r="105" spans="1:3">
      <c r="A105">
        <v>92</v>
      </c>
      <c r="B105" s="155"/>
      <c r="C105" s="152"/>
    </row>
    <row r="106" spans="1:3">
      <c r="A106">
        <v>93</v>
      </c>
      <c r="B106" s="155"/>
      <c r="C106" s="152"/>
    </row>
    <row r="107" spans="1:3">
      <c r="A107">
        <v>94</v>
      </c>
      <c r="B107" s="155"/>
      <c r="C107" s="152"/>
    </row>
    <row r="108" spans="1:3">
      <c r="A108">
        <v>95</v>
      </c>
      <c r="B108" s="155"/>
      <c r="C108" s="152"/>
    </row>
    <row r="109" spans="1:3">
      <c r="A109">
        <v>96</v>
      </c>
      <c r="B109" s="155"/>
      <c r="C109" s="152"/>
    </row>
    <row r="110" spans="1:3">
      <c r="A110">
        <v>97</v>
      </c>
      <c r="B110" s="155"/>
      <c r="C110" s="152"/>
    </row>
    <row r="111" spans="1:3">
      <c r="A111">
        <v>98</v>
      </c>
      <c r="B111" s="155"/>
      <c r="C111" s="152"/>
    </row>
    <row r="112" spans="1:3">
      <c r="A112">
        <v>99</v>
      </c>
      <c r="B112" s="155"/>
      <c r="C112" s="152"/>
    </row>
    <row r="113" spans="1:3">
      <c r="A113">
        <v>100</v>
      </c>
      <c r="B113" s="155"/>
      <c r="C113" s="152"/>
    </row>
    <row r="114" spans="1:3">
      <c r="A114">
        <v>101</v>
      </c>
      <c r="B114" s="155"/>
      <c r="C114" s="153"/>
    </row>
    <row r="115" spans="1:3">
      <c r="A115">
        <v>102</v>
      </c>
      <c r="B115" s="155"/>
      <c r="C115" s="153"/>
    </row>
    <row r="116" spans="1:3">
      <c r="A116">
        <v>103</v>
      </c>
      <c r="B116" s="155"/>
      <c r="C116" s="153"/>
    </row>
    <row r="117" spans="1:3">
      <c r="A117">
        <v>104</v>
      </c>
      <c r="B117" s="155"/>
      <c r="C117" s="153"/>
    </row>
    <row r="118" spans="1:3">
      <c r="A118">
        <v>105</v>
      </c>
      <c r="B118" s="155"/>
      <c r="C118" s="153"/>
    </row>
    <row r="119" spans="1:3">
      <c r="A119">
        <v>106</v>
      </c>
      <c r="B119" s="155"/>
      <c r="C119" s="153"/>
    </row>
    <row r="120" spans="1:3">
      <c r="A120">
        <v>107</v>
      </c>
      <c r="B120" s="155"/>
      <c r="C120" s="153"/>
    </row>
    <row r="121" spans="1:3">
      <c r="A121">
        <v>108</v>
      </c>
      <c r="B121" s="155"/>
      <c r="C121" s="153"/>
    </row>
    <row r="122" spans="1:3">
      <c r="A122">
        <v>109</v>
      </c>
      <c r="B122" s="155"/>
      <c r="C122" s="153"/>
    </row>
    <row r="123" spans="1:3">
      <c r="A123">
        <v>110</v>
      </c>
      <c r="B123" s="155"/>
      <c r="C123" s="153"/>
    </row>
    <row r="124" spans="1:3">
      <c r="A124">
        <v>111</v>
      </c>
      <c r="B124" s="155"/>
      <c r="C124" s="153"/>
    </row>
    <row r="125" spans="1:3">
      <c r="A125">
        <v>112</v>
      </c>
      <c r="B125" s="155"/>
      <c r="C125" s="153"/>
    </row>
    <row r="126" spans="1:3">
      <c r="A126">
        <v>113</v>
      </c>
      <c r="B126" s="155"/>
      <c r="C126" s="153"/>
    </row>
    <row r="127" spans="1:3">
      <c r="A127">
        <v>114</v>
      </c>
      <c r="B127" s="155"/>
      <c r="C127" s="153"/>
    </row>
    <row r="128" spans="1:3">
      <c r="A128">
        <v>115</v>
      </c>
      <c r="B128" s="155"/>
      <c r="C128" s="153"/>
    </row>
    <row r="129" spans="1:3">
      <c r="A129">
        <v>116</v>
      </c>
      <c r="B129" s="155"/>
      <c r="C129" s="153"/>
    </row>
    <row r="130" spans="1:3">
      <c r="A130">
        <v>117</v>
      </c>
      <c r="B130" s="155"/>
      <c r="C130" s="153"/>
    </row>
    <row r="131" spans="1:3">
      <c r="A131">
        <v>118</v>
      </c>
      <c r="B131" s="155"/>
      <c r="C131" s="153"/>
    </row>
    <row r="132" spans="1:3">
      <c r="A132">
        <v>119</v>
      </c>
      <c r="B132" s="155"/>
      <c r="C132" s="153"/>
    </row>
    <row r="133" spans="1:3">
      <c r="A133">
        <v>120</v>
      </c>
      <c r="B133" s="155"/>
      <c r="C133" s="153"/>
    </row>
    <row r="134" spans="1:3">
      <c r="A134">
        <v>121</v>
      </c>
      <c r="B134" s="155"/>
      <c r="C134" s="153"/>
    </row>
    <row r="135" spans="1:3">
      <c r="A135">
        <v>122</v>
      </c>
      <c r="B135" s="155"/>
      <c r="C135" s="153"/>
    </row>
    <row r="136" spans="1:3">
      <c r="A136">
        <v>123</v>
      </c>
      <c r="B136" s="155"/>
      <c r="C136" s="153"/>
    </row>
    <row r="137" spans="1:3">
      <c r="A137">
        <v>124</v>
      </c>
      <c r="B137" s="155"/>
      <c r="C137" s="153"/>
    </row>
    <row r="138" spans="1:3">
      <c r="A138">
        <v>125</v>
      </c>
      <c r="B138" s="155"/>
      <c r="C138" s="153"/>
    </row>
    <row r="139" spans="1:3">
      <c r="A139">
        <v>126</v>
      </c>
      <c r="B139" s="155"/>
      <c r="C139" s="153"/>
    </row>
    <row r="140" spans="1:3">
      <c r="A140">
        <v>127</v>
      </c>
      <c r="B140" s="155"/>
      <c r="C140" s="153"/>
    </row>
    <row r="141" spans="1:3">
      <c r="A141">
        <v>128</v>
      </c>
      <c r="B141" s="155"/>
      <c r="C141" s="153"/>
    </row>
    <row r="142" spans="1:3">
      <c r="A142">
        <v>129</v>
      </c>
      <c r="B142" s="155"/>
      <c r="C142" s="153"/>
    </row>
    <row r="143" spans="1:3">
      <c r="A143">
        <v>130</v>
      </c>
      <c r="B143" s="155"/>
      <c r="C143" s="153"/>
    </row>
    <row r="144" spans="1:3">
      <c r="A144">
        <v>131</v>
      </c>
      <c r="B144" s="155"/>
      <c r="C144" s="153"/>
    </row>
    <row r="145" spans="1:3">
      <c r="A145">
        <v>132</v>
      </c>
      <c r="B145" s="155"/>
      <c r="C145" s="153"/>
    </row>
    <row r="146" spans="1:3">
      <c r="A146">
        <v>133</v>
      </c>
      <c r="B146" s="155"/>
      <c r="C146" s="153"/>
    </row>
    <row r="147" spans="1:3">
      <c r="A147">
        <v>134</v>
      </c>
      <c r="B147" s="155"/>
      <c r="C147" s="153"/>
    </row>
    <row r="148" spans="1:3">
      <c r="A148">
        <v>135</v>
      </c>
      <c r="B148" s="155"/>
      <c r="C148" s="153"/>
    </row>
    <row r="149" spans="1:3">
      <c r="A149">
        <v>136</v>
      </c>
      <c r="B149" s="155"/>
      <c r="C149" s="153"/>
    </row>
    <row r="150" spans="1:3">
      <c r="A150">
        <v>137</v>
      </c>
      <c r="B150" s="155"/>
      <c r="C150" s="153"/>
    </row>
    <row r="151" spans="1:3">
      <c r="A151">
        <v>138</v>
      </c>
      <c r="B151" s="155"/>
      <c r="C151" s="153"/>
    </row>
    <row r="152" spans="1:3">
      <c r="A152">
        <v>139</v>
      </c>
      <c r="B152" s="155"/>
      <c r="C152" s="153"/>
    </row>
    <row r="153" spans="1:3">
      <c r="A153">
        <v>140</v>
      </c>
      <c r="B153" s="155"/>
      <c r="C153" s="153"/>
    </row>
    <row r="154" spans="1:3">
      <c r="A154">
        <v>141</v>
      </c>
      <c r="B154" s="155"/>
      <c r="C154" s="153"/>
    </row>
    <row r="155" spans="1:3">
      <c r="A155">
        <v>142</v>
      </c>
      <c r="B155" s="155"/>
      <c r="C155" s="153"/>
    </row>
    <row r="156" spans="1:3">
      <c r="A156">
        <v>143</v>
      </c>
      <c r="B156" s="155"/>
      <c r="C156" s="153"/>
    </row>
    <row r="157" spans="1:3">
      <c r="A157">
        <v>144</v>
      </c>
      <c r="B157" s="155"/>
      <c r="C157" s="153"/>
    </row>
    <row r="158" spans="1:3">
      <c r="A158">
        <v>145</v>
      </c>
      <c r="B158" s="155"/>
      <c r="C158" s="153"/>
    </row>
    <row r="159" spans="1:3">
      <c r="A159">
        <v>146</v>
      </c>
      <c r="B159" s="155"/>
      <c r="C159" s="153"/>
    </row>
    <row r="160" spans="1:3">
      <c r="A160">
        <v>147</v>
      </c>
      <c r="B160" s="155"/>
      <c r="C160" s="153"/>
    </row>
    <row r="161" spans="1:3">
      <c r="A161">
        <v>148</v>
      </c>
      <c r="B161" s="155"/>
      <c r="C161" s="153"/>
    </row>
    <row r="162" spans="1:3">
      <c r="A162">
        <v>149</v>
      </c>
      <c r="B162" s="155"/>
      <c r="C162" s="153"/>
    </row>
    <row r="163" spans="1:3">
      <c r="A163">
        <v>150</v>
      </c>
      <c r="B163" s="155"/>
      <c r="C163" s="153"/>
    </row>
    <row r="164" spans="1:3">
      <c r="A164">
        <v>151</v>
      </c>
      <c r="B164" s="155"/>
      <c r="C164" s="153"/>
    </row>
    <row r="165" spans="1:3">
      <c r="A165">
        <v>152</v>
      </c>
      <c r="B165" s="155"/>
      <c r="C165" s="153"/>
    </row>
    <row r="166" spans="1:3">
      <c r="A166">
        <v>153</v>
      </c>
      <c r="B166" s="155"/>
      <c r="C166" s="153"/>
    </row>
    <row r="167" spans="1:3">
      <c r="A167">
        <v>154</v>
      </c>
      <c r="B167" s="155"/>
      <c r="C167" s="153"/>
    </row>
    <row r="168" spans="1:3">
      <c r="A168">
        <v>155</v>
      </c>
      <c r="B168" s="155"/>
      <c r="C168" s="153"/>
    </row>
    <row r="169" spans="1:3">
      <c r="A169">
        <v>156</v>
      </c>
      <c r="B169" s="155"/>
      <c r="C169" s="153"/>
    </row>
    <row r="170" spans="1:3">
      <c r="A170">
        <v>157</v>
      </c>
      <c r="B170" s="155"/>
      <c r="C170" s="153"/>
    </row>
    <row r="171" spans="1:3">
      <c r="A171">
        <v>158</v>
      </c>
      <c r="B171" s="155"/>
      <c r="C171" s="153"/>
    </row>
    <row r="172" spans="1:3">
      <c r="A172">
        <v>159</v>
      </c>
      <c r="B172" s="155"/>
      <c r="C172" s="153"/>
    </row>
    <row r="173" spans="1:3">
      <c r="A173">
        <v>160</v>
      </c>
      <c r="B173" s="155"/>
      <c r="C173" s="153"/>
    </row>
    <row r="174" spans="1:3">
      <c r="A174">
        <v>161</v>
      </c>
      <c r="B174" s="155"/>
      <c r="C174" s="153"/>
    </row>
    <row r="175" spans="1:3">
      <c r="A175">
        <v>162</v>
      </c>
      <c r="B175" s="155"/>
      <c r="C175" s="153"/>
    </row>
    <row r="176" spans="1:3">
      <c r="A176">
        <v>163</v>
      </c>
      <c r="B176" s="155"/>
      <c r="C176" s="153"/>
    </row>
    <row r="177" spans="1:3">
      <c r="A177">
        <v>164</v>
      </c>
      <c r="B177" s="155"/>
      <c r="C177" s="153"/>
    </row>
    <row r="178" spans="1:3">
      <c r="A178">
        <v>165</v>
      </c>
      <c r="B178" s="155"/>
      <c r="C178" s="153"/>
    </row>
    <row r="179" spans="1:3">
      <c r="A179">
        <v>166</v>
      </c>
      <c r="B179" s="155"/>
      <c r="C179" s="153"/>
    </row>
    <row r="180" spans="1:3">
      <c r="A180">
        <v>167</v>
      </c>
      <c r="B180" s="155"/>
      <c r="C180" s="153"/>
    </row>
    <row r="181" spans="1:3">
      <c r="A181">
        <v>168</v>
      </c>
      <c r="B181" s="155"/>
      <c r="C181" s="153"/>
    </row>
    <row r="182" spans="1:3">
      <c r="A182">
        <v>169</v>
      </c>
      <c r="B182" s="155"/>
      <c r="C182" s="153"/>
    </row>
    <row r="183" spans="1:3">
      <c r="A183">
        <v>170</v>
      </c>
      <c r="B183" s="155"/>
      <c r="C183" s="153"/>
    </row>
    <row r="184" spans="1:3">
      <c r="A184">
        <v>171</v>
      </c>
      <c r="B184" s="155"/>
      <c r="C184" s="153"/>
    </row>
    <row r="185" spans="1:3">
      <c r="A185">
        <v>172</v>
      </c>
      <c r="B185" s="155"/>
      <c r="C185" s="153"/>
    </row>
    <row r="186" spans="1:3">
      <c r="A186">
        <v>173</v>
      </c>
      <c r="B186" s="155"/>
      <c r="C186" s="153"/>
    </row>
    <row r="187" spans="1:3">
      <c r="A187">
        <v>174</v>
      </c>
      <c r="B187" s="155"/>
      <c r="C187" s="153"/>
    </row>
    <row r="188" spans="1:3">
      <c r="A188">
        <v>175</v>
      </c>
      <c r="B188" s="155"/>
      <c r="C188" s="153"/>
    </row>
    <row r="189" spans="1:3">
      <c r="A189">
        <v>176</v>
      </c>
      <c r="B189" s="155"/>
      <c r="C189" s="153"/>
    </row>
    <row r="190" spans="1:3">
      <c r="A190">
        <v>177</v>
      </c>
      <c r="B190" s="155"/>
      <c r="C190" s="153"/>
    </row>
    <row r="191" spans="1:3">
      <c r="A191">
        <v>178</v>
      </c>
      <c r="B191" s="155"/>
      <c r="C191" s="153"/>
    </row>
    <row r="192" spans="1:3">
      <c r="A192">
        <v>179</v>
      </c>
      <c r="B192" s="155"/>
      <c r="C192" s="153"/>
    </row>
    <row r="193" spans="1:3">
      <c r="A193">
        <v>180</v>
      </c>
      <c r="B193" s="155"/>
      <c r="C193" s="153"/>
    </row>
    <row r="194" spans="1:3">
      <c r="A194">
        <v>181</v>
      </c>
      <c r="B194" s="155"/>
      <c r="C194" s="153"/>
    </row>
    <row r="195" spans="1:3">
      <c r="A195">
        <v>182</v>
      </c>
      <c r="B195" s="155"/>
      <c r="C195" s="153"/>
    </row>
    <row r="196" spans="1:3">
      <c r="A196">
        <v>183</v>
      </c>
      <c r="B196" s="155"/>
      <c r="C196" s="153"/>
    </row>
    <row r="197" spans="1:3">
      <c r="A197">
        <v>184</v>
      </c>
      <c r="B197" s="155"/>
      <c r="C197" s="153"/>
    </row>
    <row r="198" spans="1:3">
      <c r="A198">
        <v>185</v>
      </c>
      <c r="B198" s="155"/>
      <c r="C198" s="153"/>
    </row>
    <row r="199" spans="1:3">
      <c r="A199">
        <v>186</v>
      </c>
      <c r="B199" s="155"/>
      <c r="C199" s="153"/>
    </row>
    <row r="200" spans="1:3">
      <c r="A200">
        <v>187</v>
      </c>
      <c r="B200" s="155"/>
      <c r="C200" s="153"/>
    </row>
    <row r="201" spans="1:3">
      <c r="A201">
        <v>188</v>
      </c>
      <c r="B201" s="155"/>
      <c r="C201" s="153"/>
    </row>
    <row r="202" spans="1:3">
      <c r="A202">
        <v>189</v>
      </c>
      <c r="B202" s="155"/>
      <c r="C202" s="153"/>
    </row>
    <row r="203" spans="1:3">
      <c r="A203">
        <v>190</v>
      </c>
      <c r="B203" s="155"/>
      <c r="C203" s="153"/>
    </row>
    <row r="204" spans="1:3">
      <c r="A204">
        <v>191</v>
      </c>
      <c r="B204" s="155"/>
      <c r="C204" s="153"/>
    </row>
    <row r="205" spans="1:3">
      <c r="A205">
        <v>192</v>
      </c>
      <c r="B205" s="155"/>
      <c r="C205" s="153"/>
    </row>
    <row r="206" spans="1:3">
      <c r="A206">
        <v>193</v>
      </c>
      <c r="B206" s="155"/>
      <c r="C206" s="153"/>
    </row>
    <row r="207" spans="1:3">
      <c r="A207">
        <v>194</v>
      </c>
      <c r="B207" s="155"/>
      <c r="C207" s="153"/>
    </row>
    <row r="208" spans="1:3">
      <c r="A208">
        <v>195</v>
      </c>
      <c r="B208" s="155"/>
      <c r="C208" s="153"/>
    </row>
    <row r="209" spans="1:3">
      <c r="A209">
        <v>196</v>
      </c>
      <c r="B209" s="155"/>
      <c r="C209" s="153"/>
    </row>
    <row r="210" spans="1:3">
      <c r="A210">
        <v>197</v>
      </c>
      <c r="B210" s="155"/>
      <c r="C210" s="153"/>
    </row>
    <row r="211" spans="1:3">
      <c r="A211">
        <v>198</v>
      </c>
      <c r="B211" s="155"/>
      <c r="C211" s="153"/>
    </row>
    <row r="212" spans="1:3">
      <c r="A212">
        <v>199</v>
      </c>
      <c r="B212" s="155"/>
      <c r="C212" s="153"/>
    </row>
    <row r="213" spans="1:3">
      <c r="A213">
        <v>200</v>
      </c>
      <c r="B213" s="155"/>
      <c r="C213" s="153"/>
    </row>
    <row r="214" spans="1:3">
      <c r="A214">
        <v>201</v>
      </c>
      <c r="B214" s="155"/>
      <c r="C214" s="153"/>
    </row>
    <row r="215" spans="1:3">
      <c r="A215">
        <v>202</v>
      </c>
      <c r="B215" s="155"/>
      <c r="C215" s="153"/>
    </row>
    <row r="216" spans="1:3">
      <c r="A216">
        <v>203</v>
      </c>
      <c r="B216" s="155"/>
      <c r="C216" s="153"/>
    </row>
    <row r="217" spans="1:3">
      <c r="A217">
        <v>204</v>
      </c>
      <c r="B217" s="155"/>
      <c r="C217" s="153"/>
    </row>
    <row r="218" spans="1:3">
      <c r="A218">
        <v>205</v>
      </c>
      <c r="B218" s="155"/>
      <c r="C218" s="153"/>
    </row>
    <row r="219" spans="1:3">
      <c r="A219">
        <v>206</v>
      </c>
      <c r="B219" s="155"/>
      <c r="C219" s="153"/>
    </row>
    <row r="220" spans="1:3">
      <c r="A220">
        <v>207</v>
      </c>
      <c r="B220" s="155"/>
      <c r="C220" s="153"/>
    </row>
    <row r="221" spans="1:3">
      <c r="A221">
        <v>208</v>
      </c>
      <c r="B221" s="155"/>
      <c r="C221" s="153"/>
    </row>
    <row r="222" spans="1:3">
      <c r="A222">
        <v>209</v>
      </c>
      <c r="B222" s="155"/>
      <c r="C222" s="153"/>
    </row>
    <row r="223" spans="1:3">
      <c r="A223">
        <v>210</v>
      </c>
      <c r="B223" s="155"/>
      <c r="C223" s="153"/>
    </row>
    <row r="224" spans="1:3">
      <c r="A224">
        <v>211</v>
      </c>
      <c r="B224" s="155"/>
      <c r="C224" s="153"/>
    </row>
    <row r="225" spans="1:3">
      <c r="A225">
        <v>212</v>
      </c>
      <c r="B225" s="155"/>
      <c r="C225" s="153"/>
    </row>
    <row r="226" spans="1:3">
      <c r="A226">
        <v>213</v>
      </c>
      <c r="B226" s="155"/>
      <c r="C226" s="153"/>
    </row>
    <row r="227" spans="1:3">
      <c r="A227">
        <v>214</v>
      </c>
      <c r="B227" s="155"/>
      <c r="C227" s="153"/>
    </row>
    <row r="228" spans="1:3">
      <c r="A228">
        <v>215</v>
      </c>
      <c r="B228" s="155"/>
      <c r="C228" s="153"/>
    </row>
    <row r="229" spans="1:3">
      <c r="A229">
        <v>216</v>
      </c>
      <c r="B229" s="155"/>
      <c r="C229" s="153"/>
    </row>
    <row r="230" spans="1:3">
      <c r="A230">
        <v>217</v>
      </c>
      <c r="B230" s="155"/>
      <c r="C230" s="153"/>
    </row>
    <row r="231" spans="1:3">
      <c r="A231">
        <v>218</v>
      </c>
      <c r="B231" s="155"/>
      <c r="C231" s="153"/>
    </row>
    <row r="232" spans="1:3">
      <c r="A232">
        <v>219</v>
      </c>
      <c r="B232" s="155"/>
      <c r="C232" s="153"/>
    </row>
    <row r="233" spans="1:3">
      <c r="A233">
        <v>220</v>
      </c>
      <c r="B233" s="155"/>
      <c r="C233" s="153"/>
    </row>
    <row r="234" spans="1:3">
      <c r="A234">
        <v>221</v>
      </c>
      <c r="B234" s="155"/>
      <c r="C234" s="153"/>
    </row>
    <row r="235" spans="1:3">
      <c r="A235">
        <v>222</v>
      </c>
      <c r="B235" s="155"/>
      <c r="C235" s="153"/>
    </row>
    <row r="236" spans="1:3">
      <c r="A236">
        <v>223</v>
      </c>
      <c r="B236" s="155"/>
      <c r="C236" s="153"/>
    </row>
    <row r="237" spans="1:3">
      <c r="A237">
        <v>224</v>
      </c>
      <c r="B237" s="155"/>
      <c r="C237" s="153"/>
    </row>
    <row r="238" spans="1:3">
      <c r="A238">
        <v>225</v>
      </c>
      <c r="B238" s="155"/>
      <c r="C238" s="153"/>
    </row>
    <row r="239" spans="1:3">
      <c r="A239">
        <v>226</v>
      </c>
      <c r="B239" s="155"/>
      <c r="C239" s="153"/>
    </row>
    <row r="240" spans="1:3">
      <c r="A240">
        <v>227</v>
      </c>
      <c r="B240" s="155"/>
      <c r="C240" s="153"/>
    </row>
    <row r="241" spans="1:3">
      <c r="A241">
        <v>228</v>
      </c>
      <c r="B241" s="155"/>
      <c r="C241" s="153"/>
    </row>
    <row r="242" spans="1:3">
      <c r="A242">
        <v>229</v>
      </c>
      <c r="B242" s="155"/>
      <c r="C242" s="153"/>
    </row>
    <row r="243" spans="1:3">
      <c r="A243">
        <v>230</v>
      </c>
      <c r="B243" s="155"/>
      <c r="C243" s="153"/>
    </row>
    <row r="244" spans="1:3">
      <c r="A244">
        <v>231</v>
      </c>
      <c r="B244" s="155"/>
      <c r="C244" s="153"/>
    </row>
    <row r="245" spans="1:3">
      <c r="A245">
        <v>232</v>
      </c>
      <c r="B245" s="155"/>
      <c r="C245" s="153"/>
    </row>
    <row r="246" spans="1:3">
      <c r="A246">
        <v>233</v>
      </c>
      <c r="B246" s="155"/>
      <c r="C246" s="153"/>
    </row>
    <row r="247" spans="1:3">
      <c r="A247">
        <v>234</v>
      </c>
      <c r="B247" s="155"/>
      <c r="C247" s="153"/>
    </row>
    <row r="248" spans="1:3">
      <c r="A248">
        <v>235</v>
      </c>
      <c r="B248" s="155"/>
      <c r="C248" s="153"/>
    </row>
    <row r="249" spans="1:3">
      <c r="A249">
        <v>236</v>
      </c>
      <c r="B249" s="155"/>
      <c r="C249" s="153"/>
    </row>
    <row r="250" spans="1:3">
      <c r="A250">
        <v>237</v>
      </c>
      <c r="B250" s="155"/>
      <c r="C250" s="153"/>
    </row>
    <row r="251" spans="1:3">
      <c r="A251">
        <v>238</v>
      </c>
      <c r="B251" s="155"/>
      <c r="C251" s="153"/>
    </row>
    <row r="252" spans="1:3">
      <c r="A252">
        <v>239</v>
      </c>
      <c r="B252" s="155"/>
      <c r="C252" s="153"/>
    </row>
    <row r="253" spans="1:3">
      <c r="A253">
        <v>240</v>
      </c>
      <c r="B253" s="155"/>
      <c r="C253" s="153"/>
    </row>
    <row r="254" spans="1:3">
      <c r="A254">
        <v>241</v>
      </c>
      <c r="B254" s="155"/>
      <c r="C254" s="153"/>
    </row>
    <row r="255" spans="1:3">
      <c r="A255">
        <v>242</v>
      </c>
      <c r="B255" s="155"/>
      <c r="C255" s="153"/>
    </row>
    <row r="256" spans="1:3">
      <c r="A256">
        <v>243</v>
      </c>
      <c r="B256" s="155"/>
      <c r="C256" s="153"/>
    </row>
    <row r="257" spans="1:3">
      <c r="A257">
        <v>244</v>
      </c>
      <c r="B257" s="155"/>
      <c r="C257" s="153"/>
    </row>
    <row r="258" spans="1:3">
      <c r="A258">
        <v>245</v>
      </c>
      <c r="B258" s="155"/>
      <c r="C258" s="153"/>
    </row>
    <row r="259" spans="1:3">
      <c r="A259">
        <v>246</v>
      </c>
      <c r="B259" s="155"/>
      <c r="C259" s="153"/>
    </row>
    <row r="260" spans="1:3">
      <c r="A260">
        <v>247</v>
      </c>
      <c r="B260" s="155"/>
      <c r="C260" s="153"/>
    </row>
    <row r="261" spans="1:3">
      <c r="A261">
        <v>248</v>
      </c>
      <c r="B261" s="155"/>
      <c r="C261" s="153"/>
    </row>
    <row r="262" spans="1:3">
      <c r="A262">
        <v>249</v>
      </c>
      <c r="B262" s="155"/>
      <c r="C262" s="153"/>
    </row>
    <row r="263" spans="1:3">
      <c r="A263">
        <v>250</v>
      </c>
      <c r="B263" s="155"/>
      <c r="C263" s="153"/>
    </row>
    <row r="264" spans="1:3">
      <c r="A264">
        <v>251</v>
      </c>
      <c r="B264" s="155"/>
      <c r="C264" s="153"/>
    </row>
    <row r="265" spans="1:3">
      <c r="A265">
        <v>252</v>
      </c>
      <c r="B265" s="155"/>
      <c r="C265" s="153"/>
    </row>
    <row r="266" spans="1:3">
      <c r="A266">
        <v>253</v>
      </c>
      <c r="B266" s="155"/>
      <c r="C266" s="153"/>
    </row>
    <row r="267" spans="1:3">
      <c r="A267">
        <v>254</v>
      </c>
      <c r="B267" s="155"/>
      <c r="C267" s="153"/>
    </row>
    <row r="268" spans="1:3">
      <c r="A268">
        <v>255</v>
      </c>
      <c r="B268" s="155"/>
      <c r="C268" s="153"/>
    </row>
    <row r="269" spans="1:3">
      <c r="A269">
        <v>256</v>
      </c>
      <c r="B269" s="155"/>
      <c r="C269" s="153"/>
    </row>
    <row r="270" spans="1:3">
      <c r="A270">
        <v>257</v>
      </c>
      <c r="B270" s="155"/>
      <c r="C270" s="153"/>
    </row>
    <row r="271" spans="1:3">
      <c r="A271">
        <v>258</v>
      </c>
      <c r="B271" s="155"/>
      <c r="C271" s="153"/>
    </row>
    <row r="272" spans="1:3">
      <c r="A272">
        <v>259</v>
      </c>
      <c r="B272" s="155"/>
      <c r="C272" s="153"/>
    </row>
    <row r="273" spans="1:3">
      <c r="A273">
        <v>260</v>
      </c>
      <c r="B273" s="155"/>
      <c r="C273" s="153"/>
    </row>
    <row r="274" spans="1:3">
      <c r="A274">
        <v>261</v>
      </c>
      <c r="B274" s="155"/>
      <c r="C274" s="153"/>
    </row>
    <row r="275" spans="1:3">
      <c r="A275">
        <v>262</v>
      </c>
      <c r="B275" s="155"/>
      <c r="C275" s="153"/>
    </row>
    <row r="276" spans="1:3">
      <c r="A276">
        <v>263</v>
      </c>
      <c r="B276" s="155"/>
      <c r="C276" s="153"/>
    </row>
    <row r="277" spans="1:3">
      <c r="A277">
        <v>264</v>
      </c>
      <c r="B277" s="155"/>
      <c r="C277" s="153"/>
    </row>
    <row r="278" spans="1:3">
      <c r="A278">
        <v>265</v>
      </c>
      <c r="B278" s="155"/>
      <c r="C278" s="153"/>
    </row>
    <row r="279" spans="1:3">
      <c r="A279">
        <v>266</v>
      </c>
      <c r="B279" s="155"/>
      <c r="C279" s="153"/>
    </row>
    <row r="280" spans="1:3">
      <c r="A280">
        <v>267</v>
      </c>
      <c r="B280" s="155"/>
      <c r="C280" s="153"/>
    </row>
    <row r="281" spans="1:3">
      <c r="A281">
        <v>268</v>
      </c>
      <c r="B281" s="155"/>
      <c r="C281" s="153"/>
    </row>
    <row r="282" spans="1:3">
      <c r="A282">
        <v>269</v>
      </c>
      <c r="B282" s="155"/>
      <c r="C282" s="153"/>
    </row>
    <row r="283" spans="1:3">
      <c r="A283">
        <v>270</v>
      </c>
      <c r="B283" s="155"/>
      <c r="C283" s="153"/>
    </row>
    <row r="284" spans="1:3">
      <c r="A284">
        <v>271</v>
      </c>
      <c r="B284" s="155"/>
      <c r="C284" s="153"/>
    </row>
    <row r="285" spans="1:3">
      <c r="A285">
        <v>272</v>
      </c>
      <c r="B285" s="155"/>
      <c r="C285" s="153"/>
    </row>
    <row r="286" spans="1:3">
      <c r="A286">
        <v>273</v>
      </c>
      <c r="B286" s="155"/>
      <c r="C286" s="153"/>
    </row>
    <row r="287" spans="1:3">
      <c r="A287">
        <v>274</v>
      </c>
      <c r="B287" s="155"/>
      <c r="C287" s="153"/>
    </row>
    <row r="288" spans="1:3">
      <c r="A288">
        <v>275</v>
      </c>
      <c r="B288" s="155"/>
      <c r="C288" s="153"/>
    </row>
    <row r="289" spans="1:3">
      <c r="A289">
        <v>276</v>
      </c>
      <c r="B289" s="155"/>
      <c r="C289" s="153"/>
    </row>
    <row r="290" spans="1:3">
      <c r="A290">
        <v>277</v>
      </c>
      <c r="B290" s="155"/>
      <c r="C290" s="153"/>
    </row>
    <row r="291" spans="1:3">
      <c r="A291">
        <v>278</v>
      </c>
      <c r="B291" s="155"/>
      <c r="C291" s="153"/>
    </row>
    <row r="292" spans="1:3">
      <c r="A292">
        <v>279</v>
      </c>
      <c r="B292" s="155"/>
      <c r="C292" s="153"/>
    </row>
    <row r="293" spans="1:3">
      <c r="A293">
        <v>280</v>
      </c>
      <c r="B293" s="155"/>
      <c r="C293" s="153"/>
    </row>
    <row r="294" spans="1:3">
      <c r="A294">
        <v>281</v>
      </c>
      <c r="B294" s="155"/>
      <c r="C294" s="153"/>
    </row>
    <row r="295" spans="1:3">
      <c r="A295">
        <v>282</v>
      </c>
      <c r="B295" s="155"/>
      <c r="C295" s="153"/>
    </row>
    <row r="296" spans="1:3">
      <c r="A296">
        <v>283</v>
      </c>
      <c r="B296" s="155"/>
      <c r="C296" s="153"/>
    </row>
    <row r="297" spans="1:3">
      <c r="A297">
        <v>284</v>
      </c>
      <c r="B297" s="155"/>
      <c r="C297" s="153"/>
    </row>
    <row r="298" spans="1:3">
      <c r="A298">
        <v>285</v>
      </c>
      <c r="B298" s="155"/>
      <c r="C298" s="153"/>
    </row>
    <row r="299" spans="1:3">
      <c r="A299">
        <v>286</v>
      </c>
      <c r="B299" s="155"/>
      <c r="C299" s="153"/>
    </row>
    <row r="300" spans="1:3">
      <c r="A300">
        <v>287</v>
      </c>
      <c r="B300" s="155"/>
      <c r="C300" s="153"/>
    </row>
    <row r="301" spans="1:3">
      <c r="A301">
        <v>288</v>
      </c>
      <c r="B301" s="155"/>
      <c r="C301" s="153"/>
    </row>
    <row r="302" spans="1:3">
      <c r="A302">
        <v>289</v>
      </c>
      <c r="B302" s="155"/>
      <c r="C302" s="153"/>
    </row>
    <row r="303" spans="1:3">
      <c r="A303">
        <v>290</v>
      </c>
      <c r="B303" s="155"/>
      <c r="C303" s="153"/>
    </row>
    <row r="304" spans="1:3">
      <c r="A304">
        <v>291</v>
      </c>
      <c r="B304" s="155"/>
      <c r="C304" s="153"/>
    </row>
    <row r="305" spans="1:3">
      <c r="A305">
        <v>292</v>
      </c>
      <c r="B305" s="155"/>
      <c r="C305" s="153"/>
    </row>
    <row r="306" spans="1:3">
      <c r="A306">
        <v>293</v>
      </c>
      <c r="B306" s="155"/>
      <c r="C306" s="153"/>
    </row>
    <row r="307" spans="1:3">
      <c r="A307">
        <v>294</v>
      </c>
      <c r="B307" s="155"/>
      <c r="C307" s="153"/>
    </row>
    <row r="308" spans="1:3">
      <c r="A308">
        <v>295</v>
      </c>
      <c r="B308" s="155"/>
      <c r="C308" s="153"/>
    </row>
    <row r="309" spans="1:3">
      <c r="A309">
        <v>296</v>
      </c>
      <c r="B309" s="155"/>
      <c r="C309" s="153"/>
    </row>
    <row r="310" spans="1:3">
      <c r="A310">
        <v>297</v>
      </c>
      <c r="B310" s="155"/>
      <c r="C310" s="153"/>
    </row>
    <row r="311" spans="1:3">
      <c r="A311">
        <v>298</v>
      </c>
      <c r="B311" s="155"/>
      <c r="C311" s="153"/>
    </row>
    <row r="312" spans="1:3">
      <c r="A312">
        <v>299</v>
      </c>
      <c r="B312" s="155"/>
      <c r="C312" s="153"/>
    </row>
    <row r="313" spans="1:3">
      <c r="A313">
        <v>300</v>
      </c>
      <c r="B313" s="155"/>
      <c r="C313" s="153"/>
    </row>
    <row r="314" spans="1:3">
      <c r="A314">
        <v>301</v>
      </c>
      <c r="B314" s="155"/>
      <c r="C314" s="153"/>
    </row>
    <row r="315" spans="1:3">
      <c r="A315">
        <v>302</v>
      </c>
      <c r="B315" s="155"/>
      <c r="C315" s="153"/>
    </row>
    <row r="316" spans="1:3">
      <c r="A316">
        <v>303</v>
      </c>
      <c r="B316" s="155"/>
      <c r="C316" s="153"/>
    </row>
    <row r="317" spans="1:3">
      <c r="A317">
        <v>304</v>
      </c>
      <c r="B317" s="155"/>
      <c r="C317" s="153"/>
    </row>
    <row r="318" spans="1:3">
      <c r="A318">
        <v>305</v>
      </c>
      <c r="B318" s="155"/>
      <c r="C318" s="153"/>
    </row>
    <row r="319" spans="1:3">
      <c r="A319">
        <v>306</v>
      </c>
      <c r="B319" s="155"/>
      <c r="C319" s="153"/>
    </row>
    <row r="320" spans="1:3">
      <c r="A320">
        <v>307</v>
      </c>
      <c r="B320" s="155"/>
      <c r="C320" s="153"/>
    </row>
    <row r="321" spans="1:3">
      <c r="A321">
        <v>308</v>
      </c>
      <c r="B321" s="155"/>
      <c r="C321" s="153"/>
    </row>
    <row r="322" spans="1:3">
      <c r="A322">
        <v>309</v>
      </c>
      <c r="B322" s="155"/>
      <c r="C322" s="153"/>
    </row>
    <row r="323" spans="1:3">
      <c r="A323">
        <v>310</v>
      </c>
      <c r="B323" s="155"/>
      <c r="C323" s="153"/>
    </row>
    <row r="324" spans="1:3">
      <c r="A324">
        <v>311</v>
      </c>
      <c r="B324" s="155"/>
      <c r="C324" s="153"/>
    </row>
    <row r="325" spans="1:3">
      <c r="A325">
        <v>312</v>
      </c>
      <c r="B325" s="155"/>
      <c r="C325" s="153"/>
    </row>
    <row r="326" spans="1:3">
      <c r="A326">
        <v>313</v>
      </c>
      <c r="B326" s="155"/>
      <c r="C326" s="153"/>
    </row>
    <row r="327" spans="1:3">
      <c r="A327">
        <v>314</v>
      </c>
      <c r="B327" s="155"/>
      <c r="C327" s="153"/>
    </row>
    <row r="328" spans="1:3">
      <c r="A328">
        <v>315</v>
      </c>
      <c r="B328" s="155"/>
      <c r="C328" s="153"/>
    </row>
    <row r="329" spans="1:3">
      <c r="A329">
        <v>316</v>
      </c>
      <c r="B329" s="155"/>
      <c r="C329" s="153"/>
    </row>
    <row r="330" spans="1:3">
      <c r="A330">
        <v>317</v>
      </c>
      <c r="B330" s="155"/>
      <c r="C330" s="153"/>
    </row>
    <row r="331" spans="1:3">
      <c r="A331">
        <v>318</v>
      </c>
      <c r="B331" s="155"/>
      <c r="C331" s="153"/>
    </row>
    <row r="332" spans="1:3">
      <c r="A332">
        <v>319</v>
      </c>
      <c r="B332" s="155"/>
      <c r="C332" s="153"/>
    </row>
    <row r="333" spans="1:3">
      <c r="A333">
        <v>320</v>
      </c>
      <c r="B333" s="155"/>
      <c r="C333" s="153"/>
    </row>
    <row r="334" spans="1:3">
      <c r="A334">
        <v>321</v>
      </c>
      <c r="B334" s="155"/>
      <c r="C334" s="153"/>
    </row>
    <row r="335" spans="1:3">
      <c r="A335">
        <v>322</v>
      </c>
      <c r="B335" s="155"/>
      <c r="C335" s="153"/>
    </row>
    <row r="336" spans="1:3">
      <c r="A336">
        <v>323</v>
      </c>
      <c r="B336" s="155"/>
      <c r="C336" s="153"/>
    </row>
    <row r="337" spans="1:3">
      <c r="A337">
        <v>324</v>
      </c>
      <c r="B337" s="155"/>
      <c r="C337" s="153"/>
    </row>
    <row r="338" spans="1:3">
      <c r="A338">
        <v>325</v>
      </c>
      <c r="B338" s="155"/>
      <c r="C338" s="153"/>
    </row>
    <row r="339" spans="1:3">
      <c r="A339">
        <v>326</v>
      </c>
      <c r="B339" s="155"/>
      <c r="C339" s="153"/>
    </row>
    <row r="340" spans="1:3">
      <c r="A340">
        <v>327</v>
      </c>
      <c r="B340" s="155"/>
      <c r="C340" s="153"/>
    </row>
    <row r="341" spans="1:3">
      <c r="A341">
        <v>328</v>
      </c>
      <c r="B341" s="155"/>
      <c r="C341" s="153"/>
    </row>
    <row r="342" spans="1:3">
      <c r="A342">
        <v>329</v>
      </c>
      <c r="B342" s="155"/>
      <c r="C342" s="153"/>
    </row>
    <row r="343" spans="1:3">
      <c r="A343">
        <v>330</v>
      </c>
      <c r="B343" s="155"/>
      <c r="C343" s="153"/>
    </row>
    <row r="344" spans="1:3">
      <c r="A344">
        <v>331</v>
      </c>
      <c r="B344" s="155"/>
      <c r="C344" s="153"/>
    </row>
    <row r="345" spans="1:3">
      <c r="A345">
        <v>332</v>
      </c>
      <c r="B345" s="155"/>
      <c r="C345" s="153"/>
    </row>
    <row r="346" spans="1:3">
      <c r="A346">
        <v>333</v>
      </c>
      <c r="B346" s="155"/>
      <c r="C346" s="153"/>
    </row>
    <row r="347" spans="1:3">
      <c r="A347">
        <v>334</v>
      </c>
      <c r="B347" s="155"/>
      <c r="C347" s="153"/>
    </row>
    <row r="348" spans="1:3">
      <c r="A348">
        <v>335</v>
      </c>
      <c r="B348" s="155"/>
      <c r="C348" s="153"/>
    </row>
    <row r="349" spans="1:3">
      <c r="A349">
        <v>336</v>
      </c>
      <c r="B349" s="155"/>
      <c r="C349" s="153"/>
    </row>
    <row r="350" spans="1:3">
      <c r="A350">
        <v>337</v>
      </c>
      <c r="B350" s="155"/>
      <c r="C350" s="153"/>
    </row>
    <row r="351" spans="1:3">
      <c r="A351">
        <v>338</v>
      </c>
      <c r="B351" s="155"/>
      <c r="C351" s="153"/>
    </row>
    <row r="352" spans="1:3">
      <c r="A352">
        <v>339</v>
      </c>
      <c r="B352" s="155"/>
      <c r="C352" s="153"/>
    </row>
    <row r="353" spans="1:3">
      <c r="A353">
        <v>340</v>
      </c>
      <c r="B353" s="155"/>
      <c r="C353" s="153"/>
    </row>
    <row r="354" spans="1:3">
      <c r="A354">
        <v>341</v>
      </c>
      <c r="B354" s="155"/>
      <c r="C354" s="153"/>
    </row>
    <row r="355" spans="1:3">
      <c r="A355">
        <v>342</v>
      </c>
      <c r="B355" s="155"/>
      <c r="C355" s="153"/>
    </row>
    <row r="356" spans="1:3">
      <c r="A356">
        <v>343</v>
      </c>
      <c r="B356" s="155"/>
      <c r="C356" s="153"/>
    </row>
    <row r="357" spans="1:3">
      <c r="A357">
        <v>344</v>
      </c>
      <c r="B357" s="155"/>
      <c r="C357" s="153"/>
    </row>
    <row r="358" spans="1:3">
      <c r="A358">
        <v>345</v>
      </c>
      <c r="B358" s="155"/>
      <c r="C358" s="153"/>
    </row>
    <row r="359" spans="1:3">
      <c r="A359">
        <v>346</v>
      </c>
      <c r="B359" s="155"/>
      <c r="C359" s="153"/>
    </row>
    <row r="360" spans="1:3">
      <c r="A360">
        <v>347</v>
      </c>
      <c r="B360" s="155"/>
      <c r="C360" s="153"/>
    </row>
    <row r="361" spans="1:3">
      <c r="A361">
        <v>348</v>
      </c>
      <c r="B361" s="155"/>
      <c r="C361" s="153"/>
    </row>
    <row r="362" spans="1:3">
      <c r="A362">
        <v>349</v>
      </c>
      <c r="B362" s="155"/>
      <c r="C362" s="153"/>
    </row>
    <row r="363" spans="1:3">
      <c r="A363">
        <v>350</v>
      </c>
      <c r="B363" s="155"/>
      <c r="C363" s="153"/>
    </row>
    <row r="364" spans="1:3">
      <c r="A364">
        <v>351</v>
      </c>
      <c r="B364" s="155"/>
      <c r="C364" s="153"/>
    </row>
    <row r="365" spans="1:3">
      <c r="A365">
        <v>352</v>
      </c>
      <c r="B365" s="155"/>
      <c r="C365" s="153"/>
    </row>
    <row r="366" spans="1:3">
      <c r="A366">
        <v>353</v>
      </c>
      <c r="B366" s="155"/>
      <c r="C366" s="153"/>
    </row>
    <row r="367" spans="1:3">
      <c r="A367">
        <v>354</v>
      </c>
      <c r="B367" s="155"/>
      <c r="C367" s="153"/>
    </row>
    <row r="368" spans="1:3">
      <c r="A368">
        <v>355</v>
      </c>
      <c r="B368" s="155"/>
      <c r="C368" s="153"/>
    </row>
    <row r="369" spans="1:3">
      <c r="A369">
        <v>356</v>
      </c>
      <c r="B369" s="155"/>
      <c r="C369" s="153"/>
    </row>
    <row r="370" spans="1:3">
      <c r="A370">
        <v>357</v>
      </c>
      <c r="B370" s="155"/>
      <c r="C370" s="153"/>
    </row>
    <row r="371" spans="1:3">
      <c r="A371">
        <v>358</v>
      </c>
      <c r="B371" s="155"/>
      <c r="C371" s="153"/>
    </row>
    <row r="372" spans="1:3">
      <c r="A372">
        <v>359</v>
      </c>
      <c r="B372" s="155"/>
      <c r="C372" s="153"/>
    </row>
    <row r="373" spans="1:3">
      <c r="A373">
        <v>360</v>
      </c>
      <c r="B373" s="155"/>
      <c r="C373" s="153"/>
    </row>
  </sheetData>
  <sheetProtection algorithmName="SHA-512" hashValue="lyDw460Ek4VIREaBE93OUVNqG1pK8+xWcw1UPKCJr7FepFYRfYf2+sV7Jy5Zakv1kOD4mdzOOr+nZ19GzGwMmg==" saltValue="+skaPrYdRD+Ee/KwViixcQ==" spinCount="100000" sheet="1" objects="1" scenarios="1"/>
  <mergeCells count="5">
    <mergeCell ref="B1:F1"/>
    <mergeCell ref="C3:F3"/>
    <mergeCell ref="C4:F4"/>
    <mergeCell ref="C5:F5"/>
    <mergeCell ref="E14:H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P28"/>
  <sheetViews>
    <sheetView showGridLines="0" zoomScale="145" zoomScaleNormal="145" workbookViewId="0">
      <selection activeCell="E4" sqref="E4:N5"/>
    </sheetView>
  </sheetViews>
  <sheetFormatPr defaultColWidth="8.90625" defaultRowHeight="18.5"/>
  <cols>
    <col min="1" max="3" width="8.90625" style="133"/>
    <col min="4" max="4" width="19" style="133" bestFit="1" customWidth="1"/>
    <col min="5" max="16384" width="8.90625" style="133"/>
  </cols>
  <sheetData>
    <row r="3" spans="4:16">
      <c r="D3" s="191" t="s">
        <v>103</v>
      </c>
      <c r="E3" s="191"/>
      <c r="F3" s="191"/>
      <c r="G3" s="191"/>
      <c r="H3" s="191"/>
      <c r="I3" s="191"/>
      <c r="J3" s="191"/>
      <c r="K3" s="191"/>
      <c r="L3" s="191"/>
      <c r="M3" s="191"/>
      <c r="N3" s="191"/>
      <c r="P3" s="134"/>
    </row>
    <row r="4" spans="4:16" ht="22.25" customHeight="1">
      <c r="D4" s="192" t="s">
        <v>104</v>
      </c>
      <c r="E4" s="195" t="s">
        <v>123</v>
      </c>
      <c r="F4" s="195"/>
      <c r="G4" s="195"/>
      <c r="H4" s="195"/>
      <c r="I4" s="195"/>
      <c r="J4" s="195"/>
      <c r="K4" s="195"/>
      <c r="L4" s="195"/>
      <c r="M4" s="195"/>
      <c r="N4" s="195"/>
    </row>
    <row r="5" spans="4:16" ht="22.25" customHeight="1">
      <c r="D5" s="193"/>
      <c r="E5" s="195"/>
      <c r="F5" s="195"/>
      <c r="G5" s="195"/>
      <c r="H5" s="195"/>
      <c r="I5" s="195"/>
      <c r="J5" s="195"/>
      <c r="K5" s="195"/>
      <c r="L5" s="195"/>
      <c r="M5" s="195"/>
      <c r="N5" s="195"/>
    </row>
    <row r="6" spans="4:16" ht="73.25" customHeight="1">
      <c r="D6" s="140" t="s">
        <v>105</v>
      </c>
      <c r="E6" s="188"/>
      <c r="F6" s="189"/>
      <c r="G6" s="189"/>
      <c r="H6" s="189"/>
      <c r="I6" s="189"/>
      <c r="J6" s="189"/>
      <c r="K6" s="189"/>
      <c r="L6" s="189"/>
      <c r="M6" s="189"/>
      <c r="N6" s="190"/>
    </row>
    <row r="7" spans="4:16">
      <c r="D7" s="141" t="s">
        <v>7</v>
      </c>
      <c r="E7" s="184">
        <v>4.3299999999999998E-2</v>
      </c>
      <c r="F7" s="185"/>
      <c r="G7" s="185"/>
      <c r="H7" s="185"/>
      <c r="I7" s="185"/>
      <c r="J7" s="185"/>
      <c r="K7" s="185"/>
      <c r="L7" s="185"/>
      <c r="M7" s="185"/>
      <c r="N7" s="186"/>
    </row>
    <row r="10" spans="4:16">
      <c r="D10" s="191" t="s">
        <v>106</v>
      </c>
      <c r="E10" s="191"/>
      <c r="F10" s="191"/>
      <c r="G10" s="191"/>
      <c r="H10" s="191"/>
      <c r="I10" s="191"/>
      <c r="J10" s="191"/>
      <c r="K10" s="191"/>
      <c r="L10" s="191"/>
      <c r="M10" s="191"/>
      <c r="N10" s="191"/>
    </row>
    <row r="11" spans="4:16" ht="36.65" customHeight="1">
      <c r="D11" s="192" t="s">
        <v>104</v>
      </c>
      <c r="E11" s="195" t="s">
        <v>124</v>
      </c>
      <c r="F11" s="195"/>
      <c r="G11" s="195"/>
      <c r="H11" s="195"/>
      <c r="I11" s="195"/>
      <c r="J11" s="195"/>
      <c r="K11" s="195"/>
      <c r="L11" s="195"/>
      <c r="M11" s="195"/>
      <c r="N11" s="195"/>
    </row>
    <row r="12" spans="4:16" ht="36.65" customHeight="1">
      <c r="D12" s="193"/>
      <c r="E12" s="195"/>
      <c r="F12" s="195"/>
      <c r="G12" s="195"/>
      <c r="H12" s="195"/>
      <c r="I12" s="195"/>
      <c r="J12" s="195"/>
      <c r="K12" s="195"/>
      <c r="L12" s="195"/>
      <c r="M12" s="195"/>
      <c r="N12" s="195"/>
    </row>
    <row r="13" spans="4:16" ht="59.4" customHeight="1">
      <c r="D13" s="140" t="s">
        <v>105</v>
      </c>
      <c r="E13" s="188"/>
      <c r="F13" s="189"/>
      <c r="G13" s="189"/>
      <c r="H13" s="189"/>
      <c r="I13" s="189"/>
      <c r="J13" s="189"/>
      <c r="K13" s="189"/>
      <c r="L13" s="189"/>
      <c r="M13" s="189"/>
      <c r="N13" s="190"/>
    </row>
    <row r="14" spans="4:16">
      <c r="D14" s="141" t="s">
        <v>7</v>
      </c>
      <c r="E14" s="184">
        <v>0.1003</v>
      </c>
      <c r="F14" s="185"/>
      <c r="G14" s="185"/>
      <c r="H14" s="185"/>
      <c r="I14" s="185"/>
      <c r="J14" s="185"/>
      <c r="K14" s="185"/>
      <c r="L14" s="185"/>
      <c r="M14" s="185"/>
      <c r="N14" s="186"/>
    </row>
    <row r="16" spans="4:16">
      <c r="D16" s="191" t="s">
        <v>107</v>
      </c>
      <c r="E16" s="191"/>
      <c r="F16" s="191"/>
      <c r="G16" s="191"/>
      <c r="H16" s="191"/>
      <c r="I16" s="191"/>
      <c r="J16" s="191"/>
      <c r="K16" s="191"/>
      <c r="L16" s="191"/>
      <c r="M16" s="191"/>
      <c r="N16" s="191"/>
    </row>
    <row r="17" spans="3:14" ht="33" customHeight="1">
      <c r="D17" s="192" t="s">
        <v>104</v>
      </c>
      <c r="E17" s="195" t="s">
        <v>126</v>
      </c>
      <c r="F17" s="195"/>
      <c r="G17" s="195"/>
      <c r="H17" s="195"/>
      <c r="I17" s="195"/>
      <c r="J17" s="195"/>
      <c r="K17" s="195"/>
      <c r="L17" s="195"/>
      <c r="M17" s="195"/>
      <c r="N17" s="195"/>
    </row>
    <row r="18" spans="3:14" ht="33" customHeight="1">
      <c r="D18" s="193"/>
      <c r="E18" s="195"/>
      <c r="F18" s="195"/>
      <c r="G18" s="195"/>
      <c r="H18" s="195"/>
      <c r="I18" s="195"/>
      <c r="J18" s="195"/>
      <c r="K18" s="195"/>
      <c r="L18" s="195"/>
      <c r="M18" s="195"/>
      <c r="N18" s="195"/>
    </row>
    <row r="19" spans="3:14" ht="48" customHeight="1">
      <c r="D19" s="140" t="s">
        <v>105</v>
      </c>
      <c r="E19" s="188"/>
      <c r="F19" s="189"/>
      <c r="G19" s="189"/>
      <c r="H19" s="189"/>
      <c r="I19" s="189"/>
      <c r="J19" s="189"/>
      <c r="K19" s="189"/>
      <c r="L19" s="189"/>
      <c r="M19" s="189"/>
      <c r="N19" s="190"/>
    </row>
    <row r="20" spans="3:14">
      <c r="D20" s="141" t="s">
        <v>7</v>
      </c>
      <c r="E20" s="184">
        <v>2.4E-2</v>
      </c>
      <c r="F20" s="185"/>
      <c r="G20" s="185"/>
      <c r="H20" s="185"/>
      <c r="I20" s="185"/>
      <c r="J20" s="185"/>
      <c r="K20" s="185"/>
      <c r="L20" s="185"/>
      <c r="M20" s="185"/>
      <c r="N20" s="186"/>
    </row>
    <row r="22" spans="3:14">
      <c r="D22" s="191" t="s">
        <v>108</v>
      </c>
      <c r="E22" s="191"/>
      <c r="F22" s="191"/>
      <c r="G22" s="191"/>
      <c r="H22" s="191"/>
      <c r="I22" s="191"/>
      <c r="J22" s="191"/>
      <c r="K22" s="191"/>
      <c r="L22" s="191"/>
      <c r="M22" s="191"/>
      <c r="N22" s="191"/>
    </row>
    <row r="23" spans="3:14" ht="22.75" customHeight="1">
      <c r="D23" s="192" t="s">
        <v>104</v>
      </c>
      <c r="E23" s="194" t="s">
        <v>125</v>
      </c>
      <c r="F23" s="194"/>
      <c r="G23" s="194"/>
      <c r="H23" s="194"/>
      <c r="I23" s="194"/>
      <c r="J23" s="194"/>
      <c r="K23" s="194"/>
      <c r="L23" s="194"/>
      <c r="M23" s="194"/>
      <c r="N23" s="194"/>
    </row>
    <row r="24" spans="3:14" ht="22.75" customHeight="1">
      <c r="D24" s="193"/>
      <c r="E24" s="194"/>
      <c r="F24" s="194"/>
      <c r="G24" s="194"/>
      <c r="H24" s="194"/>
      <c r="I24" s="194"/>
      <c r="J24" s="194"/>
      <c r="K24" s="194"/>
      <c r="L24" s="194"/>
      <c r="M24" s="194"/>
      <c r="N24" s="194"/>
    </row>
    <row r="25" spans="3:14" ht="49.75" customHeight="1">
      <c r="D25" s="140" t="s">
        <v>105</v>
      </c>
      <c r="E25" s="188"/>
      <c r="F25" s="189"/>
      <c r="G25" s="189"/>
      <c r="H25" s="189"/>
      <c r="I25" s="189"/>
      <c r="J25" s="189"/>
      <c r="K25" s="189"/>
      <c r="L25" s="189"/>
      <c r="M25" s="189"/>
      <c r="N25" s="190"/>
    </row>
    <row r="26" spans="3:14">
      <c r="D26" s="141" t="s">
        <v>7</v>
      </c>
      <c r="E26" s="184">
        <v>0.13769999999999999</v>
      </c>
      <c r="F26" s="185"/>
      <c r="G26" s="185"/>
      <c r="H26" s="185"/>
      <c r="I26" s="185"/>
      <c r="J26" s="185"/>
      <c r="K26" s="185"/>
      <c r="L26" s="185"/>
      <c r="M26" s="185"/>
      <c r="N26" s="186"/>
    </row>
    <row r="28" spans="3:14" ht="55.25" customHeight="1">
      <c r="C28" s="187" t="s">
        <v>109</v>
      </c>
      <c r="D28" s="187"/>
      <c r="E28" s="187"/>
      <c r="F28" s="187"/>
      <c r="G28" s="187"/>
      <c r="H28" s="187"/>
      <c r="I28" s="187"/>
      <c r="J28" s="187"/>
      <c r="K28" s="187"/>
      <c r="L28" s="187"/>
      <c r="M28" s="187"/>
      <c r="N28" s="187"/>
    </row>
  </sheetData>
  <sheetProtection algorithmName="SHA-512" hashValue="5aKjuj4u4U4l9uhfCGgB9Tk0N8S/0qAsGCzky532mO1Yc8G+z54feJRnheA9S+YfXrBdNJOxrISutfx/QdnHMg==" saltValue="bGTHoU+K7mgecX7hR9XZWA==" spinCount="100000" sheet="1" objects="1" scenarios="1"/>
  <mergeCells count="21">
    <mergeCell ref="D17:D18"/>
    <mergeCell ref="E17:N18"/>
    <mergeCell ref="D3:N3"/>
    <mergeCell ref="D4:D5"/>
    <mergeCell ref="E4:N5"/>
    <mergeCell ref="E6:N6"/>
    <mergeCell ref="E7:N7"/>
    <mergeCell ref="D10:N10"/>
    <mergeCell ref="D11:D12"/>
    <mergeCell ref="E11:N12"/>
    <mergeCell ref="E13:N13"/>
    <mergeCell ref="E14:N14"/>
    <mergeCell ref="D16:N16"/>
    <mergeCell ref="E26:N26"/>
    <mergeCell ref="C28:N28"/>
    <mergeCell ref="E19:N19"/>
    <mergeCell ref="E20:N20"/>
    <mergeCell ref="D22:N22"/>
    <mergeCell ref="D23:D24"/>
    <mergeCell ref="E23:N24"/>
    <mergeCell ref="E25:N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zoomScale="79" zoomScaleNormal="130" workbookViewId="0"/>
  </sheetViews>
  <sheetFormatPr defaultColWidth="0" defaultRowHeight="14.5" zeroHeight="1"/>
  <cols>
    <col min="1" max="1" width="131.54296875" style="111" bestFit="1" customWidth="1"/>
    <col min="2" max="3" width="9.08984375" customWidth="1"/>
    <col min="4" max="16384" width="9.08984375" hidden="1"/>
  </cols>
  <sheetData>
    <row r="1" spans="1:1"/>
    <row r="2" spans="1:1" ht="21">
      <c r="A2" s="117" t="s">
        <v>96</v>
      </c>
    </row>
    <row r="3" spans="1:1" ht="75" customHeight="1">
      <c r="A3" s="118" t="s">
        <v>89</v>
      </c>
    </row>
    <row r="4" spans="1:1"/>
    <row r="5" spans="1:1" ht="21">
      <c r="A5" s="117" t="s">
        <v>97</v>
      </c>
    </row>
    <row r="6" spans="1:1" ht="42">
      <c r="A6" s="118" t="s">
        <v>90</v>
      </c>
    </row>
    <row r="7" spans="1:1"/>
    <row r="8" spans="1:1"/>
    <row r="9" spans="1:1" ht="21">
      <c r="A9" s="117" t="s">
        <v>98</v>
      </c>
    </row>
    <row r="10" spans="1:1" ht="84">
      <c r="A10" s="138" t="s">
        <v>111</v>
      </c>
    </row>
    <row r="11" spans="1:1" ht="55.75" customHeight="1">
      <c r="A11" s="115" t="s">
        <v>112</v>
      </c>
    </row>
    <row r="12" spans="1:1" ht="34.25" customHeight="1">
      <c r="A12" s="116" t="s">
        <v>113</v>
      </c>
    </row>
    <row r="13" spans="1:1"/>
    <row r="14" spans="1:1" ht="21">
      <c r="A14" s="117" t="s">
        <v>99</v>
      </c>
    </row>
    <row r="15" spans="1:1" ht="42">
      <c r="A15" s="115" t="s">
        <v>91</v>
      </c>
    </row>
    <row r="16" spans="1:1" ht="21">
      <c r="A16" s="115" t="s">
        <v>133</v>
      </c>
    </row>
    <row r="17" spans="1:1" ht="21">
      <c r="A17" s="115" t="s">
        <v>92</v>
      </c>
    </row>
    <row r="18" spans="1:1" ht="21">
      <c r="A18" s="115" t="s">
        <v>93</v>
      </c>
    </row>
    <row r="19" spans="1:1" ht="21">
      <c r="A19" s="116" t="s">
        <v>127</v>
      </c>
    </row>
    <row r="20" spans="1:1"/>
    <row r="21" spans="1:1" ht="21">
      <c r="A21" s="112" t="s">
        <v>100</v>
      </c>
    </row>
    <row r="22" spans="1:1" ht="21">
      <c r="A22" s="114" t="s">
        <v>94</v>
      </c>
    </row>
    <row r="23" spans="1:1"/>
    <row r="24" spans="1:1" ht="21">
      <c r="A24" s="112" t="s">
        <v>101</v>
      </c>
    </row>
    <row r="25" spans="1:1" ht="42">
      <c r="A25" s="113" t="s">
        <v>95</v>
      </c>
    </row>
    <row r="26" spans="1:1"/>
    <row r="27" spans="1:1"/>
    <row r="28" spans="1:1"/>
  </sheetData>
  <sheetProtection algorithmName="SHA-512" hashValue="WgQMoNhkjl9EQDf6EW4sk1Xzly1k7ilxn1b8uVE7fqYAccoYC9DqzeAQUERsNUIbfEDU5ax7zfvZqoOr+lDhWg==" saltValue="oMV7vQrDzS1irOucZgrgKg=="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Key Definitions</vt:lpstr>
      <vt:lpstr>Input</vt:lpstr>
      <vt:lpstr>Personal Finance</vt:lpstr>
      <vt:lpstr>Auto Finance</vt:lpstr>
      <vt:lpstr>Real Estate Finance</vt:lpstr>
      <vt:lpstr>Credit Card</vt:lpstr>
      <vt:lpstr>Inconsistent Installments</vt:lpstr>
      <vt:lpstr>Examples</vt:lpstr>
      <vt:lpstr>FAQ</vt:lpstr>
      <vt:lpstr>Input-AF (Avg Insurance) </vt:lpstr>
      <vt:lpstr>Auto Finance- Avg Insurance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Ruchi Batra</dc:creator>
  <cp:lastModifiedBy>Abdulmalik Alshahrani</cp:lastModifiedBy>
  <cp:lastPrinted>2022-04-17T07:51:20Z</cp:lastPrinted>
  <dcterms:created xsi:type="dcterms:W3CDTF">2021-12-01T07:33:33Z</dcterms:created>
  <dcterms:modified xsi:type="dcterms:W3CDTF">2023-10-30T11:16:35Z</dcterms:modified>
</cp:coreProperties>
</file>